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showInkAnnotation="0" codeName="ThisWorkbook" defaultThemeVersion="124226"/>
  <mc:AlternateContent xmlns:mc="http://schemas.openxmlformats.org/markup-compatibility/2006">
    <mc:Choice Requires="x15">
      <x15ac:absPath xmlns:x15ac="http://schemas.microsoft.com/office/spreadsheetml/2010/11/ac" url="/Users/Monkey/Downloads/"/>
    </mc:Choice>
  </mc:AlternateContent>
  <xr:revisionPtr revIDLastSave="0" documentId="13_ncr:1_{D2818E07-3674-2E4F-9CC6-5E7496C1E47B}" xr6:coauthVersionLast="47" xr6:coauthVersionMax="47" xr10:uidLastSave="{00000000-0000-0000-0000-000000000000}"/>
  <bookViews>
    <workbookView xWindow="0" yWindow="0" windowWidth="25600" windowHeight="16000" xr2:uid="{00000000-000D-0000-FFFF-FFFF00000000}"/>
  </bookViews>
  <sheets>
    <sheet name="Cover page" sheetId="67" r:id="rId1"/>
    <sheet name="Contents" sheetId="105" r:id="rId2"/>
    <sheet name="QA" sheetId="66" state="hidden" r:id="rId3"/>
    <sheet name="Project Info" sheetId="1" state="hidden" r:id="rId4"/>
    <sheet name="Dates" sheetId="2" state="hidden" r:id="rId5"/>
    <sheet name="1_Doc_Merge" sheetId="32" state="hidden" r:id="rId6"/>
    <sheet name="Lot_Lookup" sheetId="45" state="hidden" r:id="rId7"/>
    <sheet name="Lookups" sheetId="4" state="hidden" r:id="rId8"/>
    <sheet name="Questions" sheetId="36" state="hidden" r:id="rId9"/>
    <sheet name="Doc_Tables 1" sheetId="69" state="hidden" r:id="rId10"/>
    <sheet name="Doc_Tables 2" sheetId="68" state="hidden" r:id="rId11"/>
    <sheet name="Doc_Tables 3" sheetId="70" state="hidden" r:id="rId12"/>
    <sheet name="Introduction" sheetId="38" r:id="rId13"/>
    <sheet name="Notes for completion" sheetId="29" r:id="rId14"/>
    <sheet name="Lots" sheetId="54" r:id="rId15"/>
    <sheet name="Part 1_Supplier Info" sheetId="8" r:id="rId16"/>
    <sheet name="Part 1_Bidding model" sheetId="40" r:id="rId17"/>
    <sheet name="Part 1_Details &amp; Declaration" sheetId="41" r:id="rId18"/>
    <sheet name="Part 2_Section 2" sheetId="10" r:id="rId19"/>
    <sheet name="Part 2_Section 3" sheetId="30" r:id="rId20"/>
    <sheet name="Part 3_Section 4 &amp; 5" sheetId="11" r:id="rId21"/>
    <sheet name="Part 3_Section 6" sheetId="12" r:id="rId22"/>
    <sheet name="Part 3_Section 7" sheetId="43" r:id="rId23"/>
    <sheet name="Part 3_Section 8" sheetId="44" r:id="rId24"/>
    <sheet name="Check List" sheetId="119" r:id="rId25"/>
    <sheet name="Response" sheetId="121" state="hidden" r:id="rId26"/>
  </sheets>
  <definedNames>
    <definedName name="Accounts_needed?">'Project Info'!$B$75</definedName>
    <definedName name="Contract_List">Lookups!$N$2:$N$7</definedName>
    <definedName name="Contract_type">Lookups!$L$2:$L$11</definedName>
    <definedName name="Doc_Lot">'Project Info'!$B$25</definedName>
    <definedName name="ESP">'Project Info'!$B$59</definedName>
    <definedName name="FAC">Lookups!$O$3</definedName>
    <definedName name="Fin_Check">'Project Info'!$B$74</definedName>
    <definedName name="Footnote_1">Introduction!$A$24</definedName>
    <definedName name="Footnote_2">'Part 1_Supplier Info'!$A$52</definedName>
    <definedName name="Footnote_3">'Part 1_Supplier Info'!$A$55</definedName>
    <definedName name="Footnote_4">'Part 1_Supplier Info'!$A$57</definedName>
    <definedName name="Int_or_SV">'Project Info'!$B$104</definedName>
    <definedName name="IntSV_Points_Lot_1">Questions!$H$257</definedName>
    <definedName name="IntSV_Points_Lot_2">#REF!</definedName>
    <definedName name="IntSV_Points_Lot_3">#REF!</definedName>
    <definedName name="IntSV_Points_Lot_4">#REF!</definedName>
    <definedName name="IntSV_Points_Lot_5">#REF!</definedName>
    <definedName name="IntSV_Qs_Lot_1">Questions!$G$257</definedName>
    <definedName name="IntSV_Qs_Lot_2">#REF!</definedName>
    <definedName name="IntSV_Qs_Lot_3">#REF!</definedName>
    <definedName name="IntSV_Qs_Lot_4">#REF!</definedName>
    <definedName name="IntSV_Qs_Lot_5">#REF!</definedName>
    <definedName name="IntSV_Same_Qs?">'Project Info'!$B$120</definedName>
    <definedName name="IntSV_Weighted?">'Project Info'!$B$118</definedName>
    <definedName name="IntSV_Weighting">'Project Info'!$B$117</definedName>
    <definedName name="JCT">Lookups!$P$2:$P$16</definedName>
    <definedName name="Job_No">'Project Info'!$B$3</definedName>
    <definedName name="Leaseholders">'Project Info'!$B$66</definedName>
    <definedName name="Lot_1">Lots!$C$9</definedName>
    <definedName name="Lot_2">Lots!$C$10</definedName>
    <definedName name="Lot_3">Lots!$C$11</definedName>
    <definedName name="Lot_4">Lots!$C$12</definedName>
    <definedName name="Lot_5">Lots!$C$13</definedName>
    <definedName name="Lot_6">Lots!$C$14</definedName>
    <definedName name="Lotted?">'Project Info'!$B$23</definedName>
    <definedName name="marks">'Project Info'!$C$101</definedName>
    <definedName name="Names">TBL_030_Resources[Name]</definedName>
    <definedName name="NEC3_Contract">Lookups!$R$2:$R$8</definedName>
    <definedName name="NHF">Lookups!$Q$2:$Q$4</definedName>
    <definedName name="No_Lots?">'Project Info'!$B$24</definedName>
    <definedName name="Offices">TBL_033_Offices[Offices]</definedName>
    <definedName name="Part_4_8.2">'Project Info'!$H$79</definedName>
    <definedName name="Part_4_8.4">'Project Info'!$H$78</definedName>
    <definedName name="Partnering">Lookups!$O$2:$O$6</definedName>
    <definedName name="Portal_Name">Lookups!$J$2:$J$7</definedName>
    <definedName name="PPC">Lookups!$O$5</definedName>
    <definedName name="Price_split">'Project Info'!$B$102</definedName>
    <definedName name="_xlnm.Print_Area" localSheetId="14">Lots!$A$1:$F$13</definedName>
    <definedName name="_xlnm.Print_Area" localSheetId="16">'Part 1_Bidding model'!$A$1:$G$26</definedName>
    <definedName name="_xlnm.Print_Area" localSheetId="17">'Part 1_Details &amp; Declaration'!$A$1:$C$30</definedName>
    <definedName name="_xlnm.Print_Area" localSheetId="15">'Part 1_Supplier Info'!$A$1:$C$57</definedName>
    <definedName name="_xlnm.Print_Area" localSheetId="18">'Part 2_Section 2'!$A$1:$C$22</definedName>
    <definedName name="_xlnm.Print_Area" localSheetId="19">'Part 2_Section 3'!$A$1:$C$24</definedName>
    <definedName name="_xlnm.Print_Area" localSheetId="20">'Part 3_Section 4 &amp; 5'!$A$1:$C$23</definedName>
    <definedName name="_xlnm.Print_Area" localSheetId="21">'Part 3_Section 6'!$A$1:$C$180</definedName>
    <definedName name="_xlnm.Print_Area" localSheetId="22">'Part 3_Section 7'!$A$1:$C$12</definedName>
    <definedName name="_xlnm.Print_Area" localSheetId="23">'Part 3_Section 8'!$A$1:$C$19</definedName>
    <definedName name="_xlnm.Print_Area" localSheetId="3">TBL_001_ProjectInfo[[#All],[Query]:[Required?]]</definedName>
    <definedName name="_xlnm.Print_Area" localSheetId="8">Questions!$A$1:$C$312</definedName>
    <definedName name="_xlnm.Print_Titles" localSheetId="24">'Check List'!$1:$3</definedName>
    <definedName name="_xlnm.Print_Titles" localSheetId="14">Lots!$1:$3</definedName>
    <definedName name="_xlnm.Print_Titles" localSheetId="16">'Part 1_Bidding model'!$1:$3</definedName>
    <definedName name="_xlnm.Print_Titles" localSheetId="17">'Part 1_Details &amp; Declaration'!$1:$3</definedName>
    <definedName name="_xlnm.Print_Titles" localSheetId="15">'Part 1_Supplier Info'!$1:$3</definedName>
    <definedName name="_xlnm.Print_Titles" localSheetId="18">'Part 2_Section 2'!$1:$3</definedName>
    <definedName name="_xlnm.Print_Titles" localSheetId="19">'Part 2_Section 3'!$1:$3</definedName>
    <definedName name="_xlnm.Print_Titles" localSheetId="20">'Part 3_Section 4 &amp; 5'!$1:$3</definedName>
    <definedName name="_xlnm.Print_Titles" localSheetId="21">'Part 3_Section 6'!$1:$3</definedName>
    <definedName name="_xlnm.Print_Titles" localSheetId="22">'Part 3_Section 7'!$1:$3</definedName>
    <definedName name="_xlnm.Print_Titles" localSheetId="23">'Part 3_Section 8'!$1:$3</definedName>
    <definedName name="Procedure">Lookups!$D$2:$D$6</definedName>
    <definedName name="Property_Type">'Project Info'!$S$1:$S$8</definedName>
    <definedName name="Return_Date">Dates!$B$14</definedName>
    <definedName name="Return_Time">Dates!$B$15</definedName>
    <definedName name="RIBA">Lookups!$S$2:$S$7</definedName>
    <definedName name="services">Lookups!$G$7:$G$9</definedName>
    <definedName name="SQ_List_1">Lookups!$F$13:$F$13</definedName>
    <definedName name="SQ_List_2">Lookups!$G$13:$G$13</definedName>
    <definedName name="SQ_List_3">Lookups!$H$13:$H$14</definedName>
    <definedName name="SQ_Min_Lot_1">Questions!$I$2</definedName>
    <definedName name="SQ_Min_Lot_2">#REF!</definedName>
    <definedName name="SQ_Min_Lot_3">#REF!</definedName>
    <definedName name="SQ_Min_Lot_4">#REF!</definedName>
    <definedName name="SQ_Min_Lot_5">#REF!</definedName>
    <definedName name="SQ_Points_Lot_1">Questions!$H$2</definedName>
    <definedName name="SQ_Points_Lot_2">#REF!</definedName>
    <definedName name="SQ_Points_Lot_3">#REF!</definedName>
    <definedName name="SQ_Points_Lot_4">#REF!</definedName>
    <definedName name="SQ_Points_Lot_5">#REF!</definedName>
    <definedName name="SQ_Qs_Lot_1">Questions!$G$2</definedName>
    <definedName name="SQ_Qs_Lot_2">#REF!</definedName>
    <definedName name="SQ_Qs_Lot_3">#REF!</definedName>
    <definedName name="SQ_Qs_Lot_4">#REF!</definedName>
    <definedName name="SQ_Qs_Lot_5">#REF!</definedName>
    <definedName name="SQ_Same_Qs?">'Project Info'!$B$108</definedName>
    <definedName name="SQ_Same_Response?">'Project Info'!$B$109</definedName>
    <definedName name="SQ_Weighted?">'Project Info'!$B$106</definedName>
    <definedName name="supplies">Lookups!$H$7:$H$9</definedName>
    <definedName name="TAC">Lookups!$O$4</definedName>
    <definedName name="Tech_Points_Lot_1">Questions!$H$146</definedName>
    <definedName name="Tech_Points_Lot_2">#REF!</definedName>
    <definedName name="Tech_Points_Lot_3">#REF!</definedName>
    <definedName name="Tech_Points_Lot_4">#REF!</definedName>
    <definedName name="Tech_Points_Lot_5">#REF!</definedName>
    <definedName name="Tech_Qs_Lot_1">Questions!$G$146</definedName>
    <definedName name="Tech_Qs_Lot_2">#REF!</definedName>
    <definedName name="Tech_Qs_Lot_3">#REF!</definedName>
    <definedName name="Tech_Qs_Lot_4">#REF!</definedName>
    <definedName name="Tech_Qs_Lot_5">#REF!</definedName>
    <definedName name="Tech_Same_Qs?">'Project Info'!$B$114</definedName>
    <definedName name="Tech_Same_Response?">'Project Info'!$B$115</definedName>
    <definedName name="Tech_split">'Project Info'!$B$103</definedName>
    <definedName name="Tech_Weighted?">'Project Info'!$B$112</definedName>
    <definedName name="Tech_Weighting">'Project Info'!$B$111</definedName>
    <definedName name="Threshold">TBL_003_DocMerge[Threshold]</definedName>
    <definedName name="TPC">Lookups!$O$2</definedName>
    <definedName name="TUPE">'Project Info'!$B$60</definedName>
    <definedName name="works">Lookups!$F$7:$F$10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2" l="1"/>
  <c r="B20" i="2"/>
  <c r="B9" i="2"/>
  <c r="B10" i="2" s="1"/>
  <c r="B8" i="2"/>
  <c r="B7" i="2"/>
  <c r="B4" i="2"/>
  <c r="B5" i="2"/>
  <c r="G2" i="121"/>
  <c r="B10" i="54" l="1" a="1"/>
  <c r="B10" i="54" s="1"/>
  <c r="B11" i="54" a="1"/>
  <c r="B11" i="54"/>
  <c r="B12" i="54" a="1"/>
  <c r="B12" i="54" s="1"/>
  <c r="B13" i="54" a="1"/>
  <c r="B13" i="54"/>
  <c r="B14" i="54" a="1"/>
  <c r="B14" i="54" s="1"/>
  <c r="B9" i="54" a="1"/>
  <c r="B9" i="54" s="1"/>
  <c r="E14" i="54"/>
  <c r="F14" i="54"/>
  <c r="EB2" i="32" a="1"/>
  <c r="EB2" i="32" s="1"/>
  <c r="EA2" i="32" a="1"/>
  <c r="EA2" i="32" s="1"/>
  <c r="DZ2" i="32" a="1"/>
  <c r="DZ2" i="32" s="1"/>
  <c r="DY2" i="32" a="1"/>
  <c r="DY2" i="32" s="1"/>
  <c r="EH2" i="32" a="1"/>
  <c r="EH2" i="32" s="1"/>
  <c r="EG2" i="32" a="1"/>
  <c r="EG2" i="32" s="1"/>
  <c r="EF2" i="32" a="1"/>
  <c r="EF2" i="32" s="1"/>
  <c r="EE2" i="32" a="1"/>
  <c r="EE2" i="32" s="1"/>
  <c r="ED2" i="32" a="1"/>
  <c r="ED2" i="32" s="1"/>
  <c r="EC2" i="32" a="1"/>
  <c r="EC2" i="32" s="1"/>
  <c r="CE8" i="32" a="1"/>
  <c r="CE8" i="32" s="1"/>
  <c r="CJ8" i="32" a="1"/>
  <c r="CJ8" i="32" s="1"/>
  <c r="CI8" i="32" a="1"/>
  <c r="CI8" i="32" s="1"/>
  <c r="CH8" i="32" a="1"/>
  <c r="CH8" i="32" s="1"/>
  <c r="CG8" i="32" a="1"/>
  <c r="CG8" i="32" s="1"/>
  <c r="CF8" i="32" a="1"/>
  <c r="CF8" i="32" s="1"/>
  <c r="CD8" i="32" a="1"/>
  <c r="CD8" i="32" s="1"/>
  <c r="CC8" i="32" a="1"/>
  <c r="CC8" i="32" s="1"/>
  <c r="CB8" i="32" a="1"/>
  <c r="CB8" i="32" s="1"/>
  <c r="CA8" i="32" a="1"/>
  <c r="CA8" i="32" s="1"/>
  <c r="F8" i="32" s="1"/>
  <c r="C8" i="32"/>
  <c r="D8" i="32"/>
  <c r="E8" i="32"/>
  <c r="G8" i="32"/>
  <c r="H8" i="32"/>
  <c r="I8" i="32"/>
  <c r="J8" i="32"/>
  <c r="K8" i="32"/>
  <c r="L8" i="32"/>
  <c r="M8" i="32"/>
  <c r="N8" i="32"/>
  <c r="P8" i="32"/>
  <c r="Q8" i="32"/>
  <c r="R8" i="32"/>
  <c r="S8" i="32"/>
  <c r="T8" i="32"/>
  <c r="U8" i="32"/>
  <c r="V8" i="32"/>
  <c r="W8" i="32"/>
  <c r="X8" i="32"/>
  <c r="Y8" i="32"/>
  <c r="Z8" i="32"/>
  <c r="AA8" i="32"/>
  <c r="AB8" i="32"/>
  <c r="AC8" i="32"/>
  <c r="AD8" i="32"/>
  <c r="AE8" i="32"/>
  <c r="AF8" i="32"/>
  <c r="AG8" i="32"/>
  <c r="AH8" i="32"/>
  <c r="AK8" i="32" s="1"/>
  <c r="AL8" i="32"/>
  <c r="AM8" i="32" s="1"/>
  <c r="AN8" i="32"/>
  <c r="AO8" i="32"/>
  <c r="AP8" i="32"/>
  <c r="AQ8" i="32"/>
  <c r="AR8" i="32"/>
  <c r="AS8" i="32"/>
  <c r="AT8" i="32"/>
  <c r="AU8" i="32"/>
  <c r="AV8" i="32"/>
  <c r="AW8" i="32"/>
  <c r="AX8" i="32"/>
  <c r="AY8" i="32"/>
  <c r="AZ8" i="32"/>
  <c r="BA8" i="32"/>
  <c r="BB8" i="32"/>
  <c r="BC8" i="32" a="1"/>
  <c r="BC8" i="32" s="1"/>
  <c r="BF8" i="32" a="1"/>
  <c r="BF8" i="32" s="1"/>
  <c r="BM8" i="32" a="1"/>
  <c r="BM8" i="32" s="1"/>
  <c r="BS8" i="32" a="1"/>
  <c r="BS8" i="32" s="1"/>
  <c r="BV8" i="32"/>
  <c r="BW8" i="32"/>
  <c r="BX8" i="32"/>
  <c r="BY8" i="32"/>
  <c r="BZ8" i="32"/>
  <c r="EI8" i="32"/>
  <c r="EJ8" i="32" s="1"/>
  <c r="EK8" i="32"/>
  <c r="EL8" i="32" s="1"/>
  <c r="EM8" i="32"/>
  <c r="I7" i="45"/>
  <c r="E7" i="45"/>
  <c r="D7" i="45"/>
  <c r="C7" i="45"/>
  <c r="R7" i="45"/>
  <c r="Q7" i="45"/>
  <c r="P7" i="45"/>
  <c r="O7" i="45"/>
  <c r="N7" i="45"/>
  <c r="M7" i="45"/>
  <c r="L7" i="45"/>
  <c r="K7" i="45"/>
  <c r="J7" i="45"/>
  <c r="H7" i="45"/>
  <c r="G7" i="45"/>
  <c r="F7" i="45"/>
  <c r="B7" i="45"/>
  <c r="D222" i="1"/>
  <c r="D221" i="1"/>
  <c r="D220" i="1"/>
  <c r="D219" i="1"/>
  <c r="B219" i="1" s="1"/>
  <c r="D218" i="1"/>
  <c r="D217" i="1"/>
  <c r="D216" i="1"/>
  <c r="D215" i="1"/>
  <c r="D214" i="1"/>
  <c r="D213" i="1"/>
  <c r="D212" i="1"/>
  <c r="D211" i="1"/>
  <c r="F211" i="1" s="1"/>
  <c r="D210" i="1"/>
  <c r="D209" i="1"/>
  <c r="D208" i="1"/>
  <c r="D207" i="1"/>
  <c r="F207" i="1" s="1"/>
  <c r="D206" i="1"/>
  <c r="F206" i="1" s="1"/>
  <c r="F222" i="1"/>
  <c r="F221" i="1"/>
  <c r="F220" i="1"/>
  <c r="B220" i="1"/>
  <c r="F218" i="1"/>
  <c r="B218" i="1"/>
  <c r="A218" i="1"/>
  <c r="F217" i="1"/>
  <c r="B217" i="1"/>
  <c r="A217" i="1"/>
  <c r="B216" i="1"/>
  <c r="F216" i="1" s="1"/>
  <c r="A216" i="1"/>
  <c r="A215" i="1"/>
  <c r="F214" i="1"/>
  <c r="F213" i="1"/>
  <c r="F212" i="1"/>
  <c r="F210" i="1"/>
  <c r="A210" i="1"/>
  <c r="B209" i="1"/>
  <c r="F209" i="1" s="1"/>
  <c r="F208" i="1"/>
  <c r="B192" i="1"/>
  <c r="B175" i="1"/>
  <c r="B158" i="1"/>
  <c r="B141" i="1"/>
  <c r="AJ8" i="32" l="1"/>
  <c r="O8" i="32"/>
  <c r="BR8" i="32"/>
  <c r="BU8" i="32"/>
  <c r="BT8" i="32"/>
  <c r="AI8" i="32"/>
  <c r="F219" i="1"/>
  <c r="B215" i="1"/>
  <c r="F215" i="1" s="1"/>
  <c r="C101" i="1" l="1"/>
  <c r="C71" i="1"/>
  <c r="C70" i="1"/>
  <c r="C18" i="1"/>
  <c r="C16" i="1"/>
  <c r="C15" i="1"/>
  <c r="C5" i="1"/>
  <c r="C4" i="1"/>
  <c r="B124" i="1"/>
  <c r="B104" i="1"/>
  <c r="B36" i="2" s="1"/>
  <c r="C103" i="1"/>
  <c r="C102" i="1"/>
  <c r="C74" i="1"/>
  <c r="B61" i="1"/>
  <c r="C60" i="1" s="1"/>
  <c r="C59" i="1"/>
  <c r="B58" i="1"/>
  <c r="C56" i="1"/>
  <c r="B52" i="1"/>
  <c r="C52" i="1" s="1"/>
  <c r="B51" i="1"/>
  <c r="C51" i="1" s="1"/>
  <c r="C49" i="1"/>
  <c r="B28" i="1"/>
  <c r="C25" i="1"/>
  <c r="B21" i="1"/>
  <c r="C20" i="1"/>
  <c r="B42" i="2"/>
  <c r="B43" i="2" s="1"/>
  <c r="B38" i="2"/>
  <c r="B37" i="2"/>
  <c r="B33" i="2"/>
  <c r="B32" i="2" s="1"/>
  <c r="B19" i="2"/>
  <c r="B18" i="2"/>
  <c r="BE8" i="32" a="1"/>
  <c r="BE8" i="32" s="1"/>
  <c r="BD8" i="32" l="1" a="1"/>
  <c r="BD8" i="32" s="1"/>
  <c r="BG8" i="32" a="1"/>
  <c r="BG8" i="32" s="1"/>
  <c r="B17" i="2"/>
  <c r="C24" i="1"/>
  <c r="G3" i="32"/>
  <c r="G4" i="32"/>
  <c r="G5" i="32"/>
  <c r="G6" i="32"/>
  <c r="G7" i="32"/>
  <c r="A2" i="105" l="1"/>
  <c r="BH8" i="32" l="1" a="1"/>
  <c r="BH8" i="32" s="1"/>
  <c r="B12" i="2"/>
  <c r="B14" i="2" s="1"/>
  <c r="BI8" i="32" a="1"/>
  <c r="BI8" i="32" s="1"/>
  <c r="G47" i="2"/>
  <c r="G45" i="2"/>
  <c r="G41" i="2"/>
  <c r="G11" i="2"/>
  <c r="F11" i="2"/>
  <c r="F12" i="2"/>
  <c r="F15" i="2"/>
  <c r="F41" i="2"/>
  <c r="F45" i="2"/>
  <c r="F47" i="2"/>
  <c r="F48" i="2"/>
  <c r="D37" i="2"/>
  <c r="F37" i="2" s="1"/>
  <c r="D38" i="2"/>
  <c r="F38" i="2" s="1"/>
  <c r="D36" i="2"/>
  <c r="F36" i="2" s="1"/>
  <c r="D18" i="2"/>
  <c r="F18" i="2" s="1"/>
  <c r="D19" i="2"/>
  <c r="F19" i="2" s="1"/>
  <c r="D17" i="2"/>
  <c r="F17" i="2" s="1"/>
  <c r="G20" i="1"/>
  <c r="H79" i="1"/>
  <c r="H78" i="1"/>
  <c r="H17" i="1"/>
  <c r="F3" i="1"/>
  <c r="F4" i="1"/>
  <c r="F5" i="1"/>
  <c r="F6" i="1"/>
  <c r="F7" i="1"/>
  <c r="F8" i="1"/>
  <c r="F9" i="1"/>
  <c r="F10" i="1"/>
  <c r="F11" i="1"/>
  <c r="F12" i="1"/>
  <c r="F13" i="1"/>
  <c r="F14" i="1"/>
  <c r="F15" i="1"/>
  <c r="F16" i="1"/>
  <c r="F17" i="1"/>
  <c r="F18" i="1"/>
  <c r="F19" i="1"/>
  <c r="F20" i="1"/>
  <c r="F22" i="1"/>
  <c r="F23" i="1"/>
  <c r="F29" i="1"/>
  <c r="F30" i="1"/>
  <c r="F31" i="1"/>
  <c r="F32" i="1"/>
  <c r="F33" i="1"/>
  <c r="F34" i="1"/>
  <c r="F35" i="1"/>
  <c r="F36" i="1"/>
  <c r="F37" i="1"/>
  <c r="F38" i="1"/>
  <c r="F39" i="1"/>
  <c r="F40" i="1"/>
  <c r="F41" i="1"/>
  <c r="F42" i="1"/>
  <c r="F43" i="1"/>
  <c r="F44" i="1"/>
  <c r="F45" i="1"/>
  <c r="F46" i="1"/>
  <c r="F47" i="1"/>
  <c r="F48" i="1"/>
  <c r="F49" i="1"/>
  <c r="F53" i="1"/>
  <c r="F54" i="1"/>
  <c r="F55" i="1"/>
  <c r="F56" i="1"/>
  <c r="F57" i="1"/>
  <c r="F59" i="1"/>
  <c r="F60" i="1"/>
  <c r="F62" i="1"/>
  <c r="F63" i="1"/>
  <c r="F64" i="1"/>
  <c r="F65" i="1"/>
  <c r="F66" i="1"/>
  <c r="F67" i="1"/>
  <c r="F68" i="1"/>
  <c r="F69" i="1"/>
  <c r="F70" i="1"/>
  <c r="F71" i="1"/>
  <c r="F72" i="1"/>
  <c r="F73" i="1"/>
  <c r="F74" i="1"/>
  <c r="F100" i="1"/>
  <c r="F101" i="1"/>
  <c r="F102" i="1"/>
  <c r="F103" i="1"/>
  <c r="F105" i="1"/>
  <c r="F106" i="1"/>
  <c r="F107" i="1"/>
  <c r="F121" i="1"/>
  <c r="F125" i="1"/>
  <c r="F126" i="1"/>
  <c r="F127" i="1"/>
  <c r="D82" i="1"/>
  <c r="F82" i="1" s="1"/>
  <c r="D78" i="1"/>
  <c r="F78" i="1" s="1"/>
  <c r="D75" i="1"/>
  <c r="F75" i="1" s="1"/>
  <c r="D61" i="1"/>
  <c r="D58" i="1"/>
  <c r="D50" i="1"/>
  <c r="F50" i="1" s="1"/>
  <c r="A201" i="1"/>
  <c r="A200" i="1"/>
  <c r="A199" i="1"/>
  <c r="A198" i="1"/>
  <c r="A184" i="1"/>
  <c r="A183" i="1"/>
  <c r="A182" i="1"/>
  <c r="A181" i="1"/>
  <c r="A167" i="1"/>
  <c r="A166" i="1"/>
  <c r="A165" i="1"/>
  <c r="A164" i="1"/>
  <c r="D137" i="1"/>
  <c r="D136" i="1"/>
  <c r="A150" i="1"/>
  <c r="A149" i="1"/>
  <c r="A148" i="1"/>
  <c r="A147" i="1"/>
  <c r="D129" i="1"/>
  <c r="F129" i="1" s="1"/>
  <c r="D128" i="1"/>
  <c r="F128" i="1" s="1"/>
  <c r="A133" i="1"/>
  <c r="A132" i="1"/>
  <c r="A131" i="1"/>
  <c r="A130" i="1"/>
  <c r="D134" i="1"/>
  <c r="B134" i="1" s="1"/>
  <c r="D135" i="1"/>
  <c r="B135" i="1" s="1"/>
  <c r="D133" i="1"/>
  <c r="B133" i="1" s="1"/>
  <c r="D132" i="1"/>
  <c r="B132" i="1" s="1"/>
  <c r="D131" i="1"/>
  <c r="B131" i="1" s="1"/>
  <c r="D130" i="1"/>
  <c r="B130" i="1" s="1"/>
  <c r="D122" i="1"/>
  <c r="F122" i="1" s="1"/>
  <c r="D123" i="1"/>
  <c r="F123" i="1" s="1"/>
  <c r="D115" i="1"/>
  <c r="F115" i="1" s="1"/>
  <c r="D114" i="1"/>
  <c r="F114" i="1" s="1"/>
  <c r="D112" i="1"/>
  <c r="F112" i="1" s="1"/>
  <c r="D113" i="1"/>
  <c r="F113" i="1" s="1"/>
  <c r="D110" i="1"/>
  <c r="F110" i="1" s="1"/>
  <c r="D111" i="1"/>
  <c r="F111" i="1" s="1"/>
  <c r="D109" i="1"/>
  <c r="F109" i="1" s="1"/>
  <c r="D108" i="1"/>
  <c r="F108" i="1" s="1"/>
  <c r="D104" i="1"/>
  <c r="A99" i="1"/>
  <c r="A98" i="1"/>
  <c r="A96" i="1"/>
  <c r="A95" i="1"/>
  <c r="A94" i="1"/>
  <c r="A93" i="1"/>
  <c r="A92" i="1"/>
  <c r="D81" i="1"/>
  <c r="F81" i="1" s="1"/>
  <c r="D83" i="1"/>
  <c r="F83" i="1" s="1"/>
  <c r="D84" i="1"/>
  <c r="F84" i="1" s="1"/>
  <c r="D85" i="1"/>
  <c r="F85" i="1" s="1"/>
  <c r="D86" i="1"/>
  <c r="F86" i="1" s="1"/>
  <c r="D80" i="1"/>
  <c r="F80" i="1" s="1"/>
  <c r="D79" i="1"/>
  <c r="F79" i="1" s="1"/>
  <c r="A78" i="1"/>
  <c r="D28" i="1"/>
  <c r="F28" i="1" s="1"/>
  <c r="D76" i="1"/>
  <c r="F76" i="1" s="1"/>
  <c r="D77" i="1"/>
  <c r="F77" i="1" s="1"/>
  <c r="D26" i="1"/>
  <c r="F26" i="1" s="1"/>
  <c r="F2" i="1"/>
  <c r="D27" i="1"/>
  <c r="F27" i="1" s="1"/>
  <c r="A97" i="1"/>
  <c r="A91" i="1"/>
  <c r="D25" i="1"/>
  <c r="D24" i="1"/>
  <c r="BJ8" i="32" l="1" a="1"/>
  <c r="BJ8" i="32" s="1"/>
  <c r="B13" i="2"/>
  <c r="BK8" i="32" s="1" a="1"/>
  <c r="BK8" i="32" s="1"/>
  <c r="EI2" i="32"/>
  <c r="B16" i="2" l="1"/>
  <c r="BL8" i="32" a="1"/>
  <c r="BL8" i="32" s="1"/>
  <c r="A6" i="29"/>
  <c r="BN8" i="32" l="1" a="1"/>
  <c r="BN8" i="32" s="1"/>
  <c r="F16" i="2"/>
  <c r="B2" i="121"/>
  <c r="J22" i="12" a="1"/>
  <c r="J22" i="12" s="1"/>
  <c r="J24" i="12" a="1"/>
  <c r="J24" i="12" s="1"/>
  <c r="J25" i="12" a="1"/>
  <c r="J25" i="12" s="1"/>
  <c r="J26" i="12" a="1"/>
  <c r="J26" i="12" s="1"/>
  <c r="J27" i="12" a="1"/>
  <c r="J27" i="12" s="1"/>
  <c r="J28" i="12" a="1"/>
  <c r="J28" i="12" s="1"/>
  <c r="J29" i="12" a="1"/>
  <c r="J29" i="12" s="1"/>
  <c r="J30" i="12" a="1"/>
  <c r="J30" i="12" s="1"/>
  <c r="J31" i="12" a="1"/>
  <c r="J31" i="12" s="1"/>
  <c r="J32" i="12" a="1"/>
  <c r="J32" i="12" s="1"/>
  <c r="J33" i="12" a="1"/>
  <c r="J33" i="12" s="1"/>
  <c r="J34" i="12" a="1"/>
  <c r="J34" i="12" s="1"/>
  <c r="J35" i="12" a="1"/>
  <c r="J35" i="12" s="1"/>
  <c r="J36" i="12" a="1"/>
  <c r="J36" i="12" s="1"/>
  <c r="J37" i="12" a="1"/>
  <c r="J37" i="12" s="1"/>
  <c r="J39" i="12" a="1"/>
  <c r="J39" i="12" s="1"/>
  <c r="J40" i="12" a="1"/>
  <c r="J40" i="12" s="1"/>
  <c r="J41" i="12" a="1"/>
  <c r="J41" i="12" s="1"/>
  <c r="J42" i="12" a="1"/>
  <c r="J42" i="12" s="1"/>
  <c r="J43" i="12" a="1"/>
  <c r="J43" i="12" s="1"/>
  <c r="J44" i="12" a="1"/>
  <c r="J44" i="12" s="1"/>
  <c r="J45" i="12" a="1"/>
  <c r="J45" i="12" s="1"/>
  <c r="J46" i="12" a="1"/>
  <c r="J46" i="12" s="1"/>
  <c r="J47" i="12" a="1"/>
  <c r="J47" i="12" s="1"/>
  <c r="J48" i="12" a="1"/>
  <c r="J48" i="12" s="1"/>
  <c r="J49" i="12" a="1"/>
  <c r="J49" i="12" s="1"/>
  <c r="J51" i="12" a="1"/>
  <c r="J51" i="12" s="1"/>
  <c r="J52" i="12" a="1"/>
  <c r="J52" i="12" s="1"/>
  <c r="J53" i="12" a="1"/>
  <c r="J53" i="12" s="1"/>
  <c r="J54" i="12" a="1"/>
  <c r="J54" i="12" s="1"/>
  <c r="J55" i="12" a="1"/>
  <c r="J55" i="12" s="1"/>
  <c r="J56" i="12" a="1"/>
  <c r="J56" i="12" s="1"/>
  <c r="J57" i="12" a="1"/>
  <c r="J57" i="12" s="1"/>
  <c r="J58" i="12" a="1"/>
  <c r="J58" i="12" s="1"/>
  <c r="J59" i="12" a="1"/>
  <c r="J59" i="12" s="1"/>
  <c r="J60" i="12" a="1"/>
  <c r="J60" i="12" s="1"/>
  <c r="J61" i="12" a="1"/>
  <c r="J61" i="12" s="1"/>
  <c r="J63" i="12" a="1"/>
  <c r="J63" i="12" s="1"/>
  <c r="J64" i="12" a="1"/>
  <c r="J64" i="12" s="1"/>
  <c r="J65" i="12" a="1"/>
  <c r="J65" i="12" s="1"/>
  <c r="J66" i="12" a="1"/>
  <c r="J66" i="12" s="1"/>
  <c r="J67" i="12" a="1"/>
  <c r="J67" i="12" s="1"/>
  <c r="J68" i="12" a="1"/>
  <c r="J68" i="12" s="1"/>
  <c r="J69" i="12" a="1"/>
  <c r="J69" i="12" s="1"/>
  <c r="J70" i="12" a="1"/>
  <c r="J70" i="12" s="1"/>
  <c r="J71" i="12" a="1"/>
  <c r="J71" i="12" s="1"/>
  <c r="J72" i="12" a="1"/>
  <c r="J72" i="12" s="1"/>
  <c r="J73" i="12" a="1"/>
  <c r="J73" i="12" s="1"/>
  <c r="J75" i="12" a="1"/>
  <c r="J75" i="12" s="1"/>
  <c r="J76" i="12" a="1"/>
  <c r="J76" i="12" s="1"/>
  <c r="J77" i="12" a="1"/>
  <c r="J77" i="12" s="1"/>
  <c r="J78" i="12" a="1"/>
  <c r="J78" i="12" s="1"/>
  <c r="J79" i="12" a="1"/>
  <c r="J79" i="12" s="1"/>
  <c r="J80" i="12" a="1"/>
  <c r="J80" i="12" s="1"/>
  <c r="J81" i="12" a="1"/>
  <c r="J81" i="12" s="1"/>
  <c r="J82" i="12" a="1"/>
  <c r="J82" i="12" s="1"/>
  <c r="J83" i="12" a="1"/>
  <c r="J83" i="12" s="1"/>
  <c r="J84" i="12" a="1"/>
  <c r="J84" i="12" s="1"/>
  <c r="J85" i="12" a="1"/>
  <c r="J85" i="12" s="1"/>
  <c r="J87" i="12" a="1"/>
  <c r="J87" i="12" s="1"/>
  <c r="J88" i="12" a="1"/>
  <c r="J88" i="12" s="1"/>
  <c r="J89" i="12" a="1"/>
  <c r="J89" i="12" s="1"/>
  <c r="J90" i="12" a="1"/>
  <c r="J90" i="12" s="1"/>
  <c r="J91" i="12" a="1"/>
  <c r="J91" i="12" s="1"/>
  <c r="J92" i="12" a="1"/>
  <c r="J92" i="12" s="1"/>
  <c r="J93" i="12" a="1"/>
  <c r="J93" i="12" s="1"/>
  <c r="J94" i="12" a="1"/>
  <c r="J94" i="12" s="1"/>
  <c r="J95" i="12" a="1"/>
  <c r="J95" i="12" s="1"/>
  <c r="J96" i="12" a="1"/>
  <c r="J96" i="12" s="1"/>
  <c r="J97" i="12" a="1"/>
  <c r="J97" i="12" s="1"/>
  <c r="J99" i="12" a="1"/>
  <c r="J99" i="12" s="1"/>
  <c r="J100" i="12" a="1"/>
  <c r="J100" i="12" s="1"/>
  <c r="J101" i="12" a="1"/>
  <c r="J101" i="12" s="1"/>
  <c r="J102" i="12" a="1"/>
  <c r="J102" i="12" s="1"/>
  <c r="J103" i="12" a="1"/>
  <c r="J103" i="12" s="1"/>
  <c r="J104" i="12" a="1"/>
  <c r="J104" i="12" s="1"/>
  <c r="J105" i="12" a="1"/>
  <c r="J105" i="12" s="1"/>
  <c r="J106" i="12" a="1"/>
  <c r="J106" i="12" s="1"/>
  <c r="J107" i="12" a="1"/>
  <c r="J107" i="12" s="1"/>
  <c r="J108" i="12" a="1"/>
  <c r="J108" i="12" s="1"/>
  <c r="J109" i="12" a="1"/>
  <c r="J109" i="12" s="1"/>
  <c r="J111" i="12" a="1"/>
  <c r="J111" i="12" s="1"/>
  <c r="J112" i="12" a="1"/>
  <c r="J112" i="12" s="1"/>
  <c r="J113" i="12" a="1"/>
  <c r="J113" i="12" s="1"/>
  <c r="J114" i="12" a="1"/>
  <c r="J114" i="12" s="1"/>
  <c r="J115" i="12" a="1"/>
  <c r="J115" i="12" s="1"/>
  <c r="J116" i="12" a="1"/>
  <c r="J116" i="12" s="1"/>
  <c r="J117" i="12" a="1"/>
  <c r="J117" i="12" s="1"/>
  <c r="J118" i="12" a="1"/>
  <c r="J118" i="12" s="1"/>
  <c r="J119" i="12" a="1"/>
  <c r="J119" i="12" s="1"/>
  <c r="J120" i="12" a="1"/>
  <c r="J120" i="12" s="1"/>
  <c r="J121" i="12" a="1"/>
  <c r="J121" i="12" s="1"/>
  <c r="J123" i="12" a="1"/>
  <c r="J123" i="12" s="1"/>
  <c r="J124" i="12" a="1"/>
  <c r="J124" i="12" s="1"/>
  <c r="J125" i="12" a="1"/>
  <c r="J125" i="12" s="1"/>
  <c r="J126" i="12" a="1"/>
  <c r="J126" i="12" s="1"/>
  <c r="J127" i="12" a="1"/>
  <c r="J127" i="12" s="1"/>
  <c r="J128" i="12" a="1"/>
  <c r="J128" i="12" s="1"/>
  <c r="J129" i="12" a="1"/>
  <c r="J129" i="12" s="1"/>
  <c r="J130" i="12" a="1"/>
  <c r="J130" i="12" s="1"/>
  <c r="J131" i="12" a="1"/>
  <c r="J131" i="12" s="1"/>
  <c r="J132" i="12" a="1"/>
  <c r="J132" i="12" s="1"/>
  <c r="J133" i="12" a="1"/>
  <c r="J133" i="12" s="1"/>
  <c r="J135" i="12" a="1"/>
  <c r="J135" i="12" s="1"/>
  <c r="J136" i="12" a="1"/>
  <c r="J136" i="12" s="1"/>
  <c r="J137" i="12" a="1"/>
  <c r="J137" i="12" s="1"/>
  <c r="J138" i="12" a="1"/>
  <c r="J138" i="12" s="1"/>
  <c r="J139" i="12" a="1"/>
  <c r="J139" i="12" s="1"/>
  <c r="J140" i="12" a="1"/>
  <c r="J140" i="12" s="1"/>
  <c r="J141" i="12" a="1"/>
  <c r="J141" i="12" s="1"/>
  <c r="J142" i="12" a="1"/>
  <c r="J142" i="12" s="1"/>
  <c r="J143" i="12" a="1"/>
  <c r="J143" i="12" s="1"/>
  <c r="J144" i="12" a="1"/>
  <c r="J144" i="12" s="1"/>
  <c r="J145" i="12" a="1"/>
  <c r="J145" i="12" s="1"/>
  <c r="J147" i="12" a="1"/>
  <c r="J147" i="12" s="1"/>
  <c r="J148" i="12" a="1"/>
  <c r="J148" i="12" s="1"/>
  <c r="J149" i="12" a="1"/>
  <c r="J149" i="12" s="1"/>
  <c r="J150" i="12" a="1"/>
  <c r="J150" i="12" s="1"/>
  <c r="J151" i="12" a="1"/>
  <c r="J151" i="12" s="1"/>
  <c r="J152" i="12" a="1"/>
  <c r="J152" i="12" s="1"/>
  <c r="J153" i="12" a="1"/>
  <c r="J153" i="12" s="1"/>
  <c r="J154" i="12" a="1"/>
  <c r="J154" i="12" s="1"/>
  <c r="J155" i="12" a="1"/>
  <c r="J155" i="12" s="1"/>
  <c r="J156" i="12" a="1"/>
  <c r="J156" i="12" s="1"/>
  <c r="J157" i="12" a="1"/>
  <c r="J157" i="12" s="1"/>
  <c r="J159" i="12" a="1"/>
  <c r="J159" i="12" s="1"/>
  <c r="J160" i="12" a="1"/>
  <c r="J160" i="12" s="1"/>
  <c r="J161" i="12" a="1"/>
  <c r="J161" i="12" s="1"/>
  <c r="J162" i="12" a="1"/>
  <c r="J162" i="12" s="1"/>
  <c r="J163" i="12" a="1"/>
  <c r="J163" i="12" s="1"/>
  <c r="J164" i="12" a="1"/>
  <c r="J164" i="12" s="1"/>
  <c r="J165" i="12" a="1"/>
  <c r="J165" i="12" s="1"/>
  <c r="J166" i="12" a="1"/>
  <c r="J166" i="12" s="1"/>
  <c r="J167" i="12" a="1"/>
  <c r="J167" i="12" s="1"/>
  <c r="J168" i="12" a="1"/>
  <c r="J168" i="12" s="1"/>
  <c r="J169" i="12" a="1"/>
  <c r="J169" i="12" s="1"/>
  <c r="J171" i="12" a="1"/>
  <c r="J171" i="12" s="1"/>
  <c r="J172" i="12" a="1"/>
  <c r="J172" i="12" s="1"/>
  <c r="J173" i="12" a="1"/>
  <c r="J173" i="12" s="1"/>
  <c r="J174" i="12" a="1"/>
  <c r="J174" i="12" s="1"/>
  <c r="J175" i="12" a="1"/>
  <c r="J175" i="12" s="1"/>
  <c r="J176" i="12" a="1"/>
  <c r="J176" i="12" s="1"/>
  <c r="J177" i="12" a="1"/>
  <c r="J177" i="12" s="1"/>
  <c r="J178" i="12" a="1"/>
  <c r="J178" i="12" s="1"/>
  <c r="J179" i="12" a="1"/>
  <c r="J179" i="12" s="1"/>
  <c r="J180" i="12" a="1"/>
  <c r="J180" i="12" s="1"/>
  <c r="J21" i="12" a="1"/>
  <c r="J21" i="12" s="1"/>
  <c r="I22" i="12" a="1"/>
  <c r="I22" i="12" s="1"/>
  <c r="I24" i="12" a="1"/>
  <c r="I24" i="12" s="1"/>
  <c r="I25" i="12" a="1"/>
  <c r="I25" i="12" s="1"/>
  <c r="I26" i="12" a="1"/>
  <c r="I26" i="12" s="1"/>
  <c r="I27" i="12" a="1"/>
  <c r="I27" i="12" s="1"/>
  <c r="I28" i="12" a="1"/>
  <c r="I28" i="12" s="1"/>
  <c r="I29" i="12" a="1"/>
  <c r="I29" i="12" s="1"/>
  <c r="I30" i="12" a="1"/>
  <c r="I30" i="12" s="1"/>
  <c r="I31" i="12" a="1"/>
  <c r="I31" i="12" s="1"/>
  <c r="I32" i="12" a="1"/>
  <c r="I32" i="12" s="1"/>
  <c r="I33" i="12" a="1"/>
  <c r="I33" i="12" s="1"/>
  <c r="I34" i="12" a="1"/>
  <c r="I34" i="12" s="1"/>
  <c r="I35" i="12" a="1"/>
  <c r="I35" i="12" s="1"/>
  <c r="I36" i="12" a="1"/>
  <c r="I36" i="12" s="1"/>
  <c r="I37" i="12" a="1"/>
  <c r="I37" i="12" s="1"/>
  <c r="I39" i="12" a="1"/>
  <c r="I39" i="12" s="1"/>
  <c r="I40" i="12" a="1"/>
  <c r="I40" i="12" s="1"/>
  <c r="I41" i="12" a="1"/>
  <c r="I41" i="12" s="1"/>
  <c r="I42" i="12" a="1"/>
  <c r="I42" i="12" s="1"/>
  <c r="I43" i="12" a="1"/>
  <c r="I43" i="12" s="1"/>
  <c r="I44" i="12" a="1"/>
  <c r="I44" i="12" s="1"/>
  <c r="I45" i="12" a="1"/>
  <c r="I45" i="12" s="1"/>
  <c r="I46" i="12" a="1"/>
  <c r="I46" i="12" s="1"/>
  <c r="I47" i="12" a="1"/>
  <c r="I47" i="12" s="1"/>
  <c r="I48" i="12" a="1"/>
  <c r="I48" i="12" s="1"/>
  <c r="I49" i="12" a="1"/>
  <c r="I49" i="12" s="1"/>
  <c r="I51" i="12" a="1"/>
  <c r="I51" i="12" s="1"/>
  <c r="I52" i="12" a="1"/>
  <c r="I52" i="12" s="1"/>
  <c r="I53" i="12" a="1"/>
  <c r="I53" i="12" s="1"/>
  <c r="I54" i="12" a="1"/>
  <c r="I54" i="12" s="1"/>
  <c r="I55" i="12" a="1"/>
  <c r="I55" i="12" s="1"/>
  <c r="I56" i="12" a="1"/>
  <c r="I56" i="12" s="1"/>
  <c r="I57" i="12" a="1"/>
  <c r="I57" i="12" s="1"/>
  <c r="I58" i="12" a="1"/>
  <c r="I58" i="12" s="1"/>
  <c r="I59" i="12" a="1"/>
  <c r="I59" i="12" s="1"/>
  <c r="I60" i="12" a="1"/>
  <c r="I60" i="12" s="1"/>
  <c r="I61" i="12" a="1"/>
  <c r="I61" i="12" s="1"/>
  <c r="I63" i="12" a="1"/>
  <c r="I63" i="12" s="1"/>
  <c r="I64" i="12" a="1"/>
  <c r="I64" i="12" s="1"/>
  <c r="I65" i="12" a="1"/>
  <c r="I65" i="12" s="1"/>
  <c r="I66" i="12" a="1"/>
  <c r="I66" i="12" s="1"/>
  <c r="I67" i="12" a="1"/>
  <c r="I67" i="12" s="1"/>
  <c r="I68" i="12" a="1"/>
  <c r="I68" i="12" s="1"/>
  <c r="I69" i="12" a="1"/>
  <c r="I69" i="12" s="1"/>
  <c r="I70" i="12" a="1"/>
  <c r="I70" i="12" s="1"/>
  <c r="I71" i="12" a="1"/>
  <c r="I71" i="12" s="1"/>
  <c r="I72" i="12" a="1"/>
  <c r="I72" i="12" s="1"/>
  <c r="I73" i="12" a="1"/>
  <c r="I73" i="12" s="1"/>
  <c r="I75" i="12" a="1"/>
  <c r="I75" i="12" s="1"/>
  <c r="I76" i="12" a="1"/>
  <c r="I76" i="12" s="1"/>
  <c r="I77" i="12" a="1"/>
  <c r="I77" i="12" s="1"/>
  <c r="I78" i="12" a="1"/>
  <c r="I78" i="12" s="1"/>
  <c r="I79" i="12" a="1"/>
  <c r="I79" i="12" s="1"/>
  <c r="I80" i="12" a="1"/>
  <c r="I80" i="12" s="1"/>
  <c r="I81" i="12" a="1"/>
  <c r="I81" i="12" s="1"/>
  <c r="I82" i="12" a="1"/>
  <c r="I82" i="12" s="1"/>
  <c r="I83" i="12" a="1"/>
  <c r="I83" i="12" s="1"/>
  <c r="I84" i="12" a="1"/>
  <c r="I84" i="12" s="1"/>
  <c r="I85" i="12" a="1"/>
  <c r="I85" i="12" s="1"/>
  <c r="I87" i="12" a="1"/>
  <c r="I87" i="12" s="1"/>
  <c r="I88" i="12" a="1"/>
  <c r="I88" i="12" s="1"/>
  <c r="I89" i="12" a="1"/>
  <c r="I89" i="12" s="1"/>
  <c r="I90" i="12" a="1"/>
  <c r="I90" i="12" s="1"/>
  <c r="I91" i="12" a="1"/>
  <c r="I91" i="12" s="1"/>
  <c r="I92" i="12" a="1"/>
  <c r="I92" i="12" s="1"/>
  <c r="I93" i="12" a="1"/>
  <c r="I93" i="12" s="1"/>
  <c r="I94" i="12" a="1"/>
  <c r="I94" i="12" s="1"/>
  <c r="I95" i="12" a="1"/>
  <c r="I95" i="12" s="1"/>
  <c r="I96" i="12" a="1"/>
  <c r="I96" i="12" s="1"/>
  <c r="I97" i="12" a="1"/>
  <c r="I97" i="12" s="1"/>
  <c r="I99" i="12" a="1"/>
  <c r="I99" i="12" s="1"/>
  <c r="I100" i="12" a="1"/>
  <c r="I100" i="12" s="1"/>
  <c r="I101" i="12" a="1"/>
  <c r="I101" i="12" s="1"/>
  <c r="I102" i="12" a="1"/>
  <c r="I102" i="12" s="1"/>
  <c r="I103" i="12" a="1"/>
  <c r="I103" i="12" s="1"/>
  <c r="I104" i="12" a="1"/>
  <c r="I104" i="12" s="1"/>
  <c r="I105" i="12" a="1"/>
  <c r="I105" i="12" s="1"/>
  <c r="I106" i="12" a="1"/>
  <c r="I106" i="12" s="1"/>
  <c r="I107" i="12" a="1"/>
  <c r="I107" i="12" s="1"/>
  <c r="I108" i="12" a="1"/>
  <c r="I108" i="12" s="1"/>
  <c r="I109" i="12" a="1"/>
  <c r="I109" i="12" s="1"/>
  <c r="I111" i="12" a="1"/>
  <c r="I111" i="12" s="1"/>
  <c r="I112" i="12" a="1"/>
  <c r="I112" i="12" s="1"/>
  <c r="I113" i="12" a="1"/>
  <c r="I113" i="12" s="1"/>
  <c r="I114" i="12" a="1"/>
  <c r="I114" i="12" s="1"/>
  <c r="I115" i="12" a="1"/>
  <c r="I115" i="12" s="1"/>
  <c r="I116" i="12" a="1"/>
  <c r="I116" i="12" s="1"/>
  <c r="I117" i="12" a="1"/>
  <c r="I117" i="12" s="1"/>
  <c r="I118" i="12" a="1"/>
  <c r="I118" i="12" s="1"/>
  <c r="I119" i="12" a="1"/>
  <c r="I119" i="12" s="1"/>
  <c r="I120" i="12" a="1"/>
  <c r="I120" i="12" s="1"/>
  <c r="I121" i="12" a="1"/>
  <c r="I121" i="12" s="1"/>
  <c r="I123" i="12" a="1"/>
  <c r="I123" i="12" s="1"/>
  <c r="I124" i="12" a="1"/>
  <c r="I124" i="12" s="1"/>
  <c r="I125" i="12" a="1"/>
  <c r="I125" i="12" s="1"/>
  <c r="I126" i="12" a="1"/>
  <c r="I126" i="12" s="1"/>
  <c r="I127" i="12" a="1"/>
  <c r="I127" i="12" s="1"/>
  <c r="I128" i="12" a="1"/>
  <c r="I128" i="12" s="1"/>
  <c r="I129" i="12" a="1"/>
  <c r="I129" i="12" s="1"/>
  <c r="I130" i="12" a="1"/>
  <c r="I130" i="12" s="1"/>
  <c r="I131" i="12" a="1"/>
  <c r="I131" i="12" s="1"/>
  <c r="I132" i="12" a="1"/>
  <c r="I132" i="12" s="1"/>
  <c r="I133" i="12" a="1"/>
  <c r="I133" i="12" s="1"/>
  <c r="I135" i="12" a="1"/>
  <c r="I135" i="12" s="1"/>
  <c r="I136" i="12" a="1"/>
  <c r="I136" i="12" s="1"/>
  <c r="I137" i="12" a="1"/>
  <c r="I137" i="12" s="1"/>
  <c r="I138" i="12" a="1"/>
  <c r="I138" i="12" s="1"/>
  <c r="I139" i="12" a="1"/>
  <c r="I139" i="12" s="1"/>
  <c r="I140" i="12" a="1"/>
  <c r="I140" i="12" s="1"/>
  <c r="I141" i="12" a="1"/>
  <c r="I141" i="12" s="1"/>
  <c r="I142" i="12" a="1"/>
  <c r="I142" i="12" s="1"/>
  <c r="I143" i="12" a="1"/>
  <c r="I143" i="12" s="1"/>
  <c r="I144" i="12" a="1"/>
  <c r="I144" i="12" s="1"/>
  <c r="I145" i="12" a="1"/>
  <c r="I145" i="12" s="1"/>
  <c r="I147" i="12" a="1"/>
  <c r="I147" i="12" s="1"/>
  <c r="I148" i="12" a="1"/>
  <c r="I148" i="12" s="1"/>
  <c r="I149" i="12" a="1"/>
  <c r="I149" i="12" s="1"/>
  <c r="I150" i="12" a="1"/>
  <c r="I150" i="12" s="1"/>
  <c r="I151" i="12" a="1"/>
  <c r="I151" i="12" s="1"/>
  <c r="I152" i="12" a="1"/>
  <c r="I152" i="12" s="1"/>
  <c r="I153" i="12" a="1"/>
  <c r="I153" i="12" s="1"/>
  <c r="I154" i="12" a="1"/>
  <c r="I154" i="12" s="1"/>
  <c r="I155" i="12" a="1"/>
  <c r="I155" i="12" s="1"/>
  <c r="I156" i="12" a="1"/>
  <c r="I156" i="12" s="1"/>
  <c r="I157" i="12" a="1"/>
  <c r="I157" i="12" s="1"/>
  <c r="I159" i="12" a="1"/>
  <c r="I159" i="12" s="1"/>
  <c r="I160" i="12" a="1"/>
  <c r="I160" i="12" s="1"/>
  <c r="I161" i="12" a="1"/>
  <c r="I161" i="12" s="1"/>
  <c r="I162" i="12" a="1"/>
  <c r="I162" i="12" s="1"/>
  <c r="I163" i="12" a="1"/>
  <c r="I163" i="12" s="1"/>
  <c r="I164" i="12" a="1"/>
  <c r="I164" i="12" s="1"/>
  <c r="I165" i="12" a="1"/>
  <c r="I165" i="12" s="1"/>
  <c r="I166" i="12" a="1"/>
  <c r="I166" i="12" s="1"/>
  <c r="I167" i="12" a="1"/>
  <c r="I167" i="12" s="1"/>
  <c r="I168" i="12" a="1"/>
  <c r="I168" i="12" s="1"/>
  <c r="I169" i="12" a="1"/>
  <c r="I169" i="12" s="1"/>
  <c r="I171" i="12" a="1"/>
  <c r="I171" i="12" s="1"/>
  <c r="I172" i="12" a="1"/>
  <c r="I172" i="12" s="1"/>
  <c r="I173" i="12" a="1"/>
  <c r="I173" i="12" s="1"/>
  <c r="I174" i="12" a="1"/>
  <c r="I174" i="12" s="1"/>
  <c r="I175" i="12" a="1"/>
  <c r="I175" i="12" s="1"/>
  <c r="I176" i="12" a="1"/>
  <c r="I176" i="12" s="1"/>
  <c r="I177" i="12" a="1"/>
  <c r="I177" i="12" s="1"/>
  <c r="I178" i="12" a="1"/>
  <c r="I178" i="12" s="1"/>
  <c r="I179" i="12" a="1"/>
  <c r="I179" i="12" s="1"/>
  <c r="I180" i="12" a="1"/>
  <c r="I180" i="12" s="1"/>
  <c r="I21" i="12" a="1"/>
  <c r="I21" i="12" s="1"/>
  <c r="A6" i="12"/>
  <c r="J3" i="69"/>
  <c r="D3" i="69"/>
  <c r="F92" i="69"/>
  <c r="D92" i="69"/>
  <c r="J89" i="69"/>
  <c r="P84" i="69"/>
  <c r="F74" i="69"/>
  <c r="D74" i="69"/>
  <c r="J71" i="69"/>
  <c r="P66" i="69"/>
  <c r="F56" i="69"/>
  <c r="D56" i="69"/>
  <c r="J53" i="69"/>
  <c r="P48" i="69"/>
  <c r="F38" i="69"/>
  <c r="D38" i="69"/>
  <c r="J35" i="69"/>
  <c r="P30" i="69"/>
  <c r="F20" i="69"/>
  <c r="D20" i="69"/>
  <c r="J17" i="69"/>
  <c r="P12" i="69"/>
  <c r="P5" i="69"/>
  <c r="J5" i="69"/>
  <c r="D5" i="69"/>
  <c r="T92" i="69"/>
  <c r="T91" i="69"/>
  <c r="T90" i="69"/>
  <c r="T89" i="69"/>
  <c r="T88" i="69"/>
  <c r="T87" i="69"/>
  <c r="T86" i="69"/>
  <c r="T85" i="69"/>
  <c r="T84" i="69"/>
  <c r="T83" i="69"/>
  <c r="T82" i="69"/>
  <c r="T81" i="69"/>
  <c r="T80" i="69"/>
  <c r="T79" i="69"/>
  <c r="T78" i="69"/>
  <c r="T77" i="69"/>
  <c r="T74" i="69"/>
  <c r="T73" i="69"/>
  <c r="T72" i="69"/>
  <c r="T71" i="69"/>
  <c r="T70" i="69"/>
  <c r="T69" i="69"/>
  <c r="T68" i="69"/>
  <c r="T67" i="69"/>
  <c r="T66" i="69"/>
  <c r="T65" i="69"/>
  <c r="T64" i="69"/>
  <c r="T63" i="69"/>
  <c r="T62" i="69"/>
  <c r="T61" i="69"/>
  <c r="T60" i="69"/>
  <c r="T59" i="69"/>
  <c r="T56" i="69"/>
  <c r="T55" i="69"/>
  <c r="T54" i="69"/>
  <c r="T53" i="69"/>
  <c r="T52" i="69"/>
  <c r="T51" i="69"/>
  <c r="T50" i="69"/>
  <c r="T49" i="69"/>
  <c r="T48" i="69"/>
  <c r="T47" i="69"/>
  <c r="T46" i="69"/>
  <c r="T45" i="69"/>
  <c r="T44" i="69"/>
  <c r="T43" i="69"/>
  <c r="T42" i="69"/>
  <c r="T41" i="69"/>
  <c r="T38" i="69"/>
  <c r="T37" i="69"/>
  <c r="T36" i="69"/>
  <c r="T35" i="69"/>
  <c r="T34" i="69"/>
  <c r="T33" i="69"/>
  <c r="T32" i="69"/>
  <c r="T31" i="69"/>
  <c r="T30" i="69"/>
  <c r="T29" i="69"/>
  <c r="T28" i="69"/>
  <c r="T27" i="69"/>
  <c r="T26" i="69"/>
  <c r="T25" i="69"/>
  <c r="T24" i="69"/>
  <c r="T23" i="69"/>
  <c r="U20" i="69"/>
  <c r="T20" i="69"/>
  <c r="U19" i="69"/>
  <c r="T19" i="69"/>
  <c r="U18" i="69"/>
  <c r="T18" i="69"/>
  <c r="U17" i="69"/>
  <c r="T17" i="69"/>
  <c r="U16" i="69"/>
  <c r="T16" i="69"/>
  <c r="U15" i="69"/>
  <c r="T15" i="69"/>
  <c r="U14" i="69"/>
  <c r="T14" i="69"/>
  <c r="U13" i="69"/>
  <c r="T13" i="69"/>
  <c r="U12" i="69"/>
  <c r="T12" i="69"/>
  <c r="U11" i="69"/>
  <c r="T11" i="69"/>
  <c r="U10" i="69"/>
  <c r="T10" i="69"/>
  <c r="U9" i="69"/>
  <c r="T9" i="69"/>
  <c r="U8" i="69"/>
  <c r="T8" i="69"/>
  <c r="U7" i="69"/>
  <c r="T7" i="69"/>
  <c r="U6" i="69"/>
  <c r="T6" i="69"/>
  <c r="U5" i="69"/>
  <c r="T5" i="69"/>
  <c r="A312" i="36"/>
  <c r="A311" i="36"/>
  <c r="A310" i="36"/>
  <c r="A309" i="36"/>
  <c r="A308" i="36"/>
  <c r="A307" i="36"/>
  <c r="A306" i="36"/>
  <c r="A305" i="36"/>
  <c r="A304" i="36"/>
  <c r="A303" i="36"/>
  <c r="A302" i="36"/>
  <c r="A301" i="36"/>
  <c r="A300" i="36"/>
  <c r="A299" i="36"/>
  <c r="A298" i="36"/>
  <c r="A297" i="36"/>
  <c r="A296" i="36"/>
  <c r="A295" i="36"/>
  <c r="A294" i="36"/>
  <c r="A293" i="36"/>
  <c r="A292" i="36"/>
  <c r="A291" i="36"/>
  <c r="A290" i="36"/>
  <c r="A289" i="36"/>
  <c r="A288" i="36"/>
  <c r="A287" i="36"/>
  <c r="A286" i="36"/>
  <c r="A285" i="36"/>
  <c r="A284" i="36"/>
  <c r="A283" i="36"/>
  <c r="A282" i="36"/>
  <c r="A281" i="36"/>
  <c r="A280" i="36"/>
  <c r="A279" i="36"/>
  <c r="A278" i="36"/>
  <c r="A277" i="36"/>
  <c r="A276" i="36"/>
  <c r="A275" i="36"/>
  <c r="A274" i="36"/>
  <c r="A273" i="36"/>
  <c r="A272" i="36"/>
  <c r="A271" i="36"/>
  <c r="A270" i="36"/>
  <c r="A269" i="36"/>
  <c r="A268" i="36"/>
  <c r="A267" i="36"/>
  <c r="A266" i="36"/>
  <c r="A265" i="36"/>
  <c r="A264" i="36"/>
  <c r="A263" i="36"/>
  <c r="A262" i="36"/>
  <c r="A261" i="36"/>
  <c r="A260" i="36"/>
  <c r="A259" i="36"/>
  <c r="A258" i="36"/>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3" i="36"/>
  <c r="A12" i="36"/>
  <c r="A11" i="36"/>
  <c r="A10" i="36"/>
  <c r="A9" i="36"/>
  <c r="A8" i="36"/>
  <c r="A7" i="36"/>
  <c r="A6" i="36"/>
  <c r="A5" i="36"/>
  <c r="A4" i="36"/>
  <c r="A3" i="36"/>
  <c r="A2" i="36"/>
  <c r="J23" i="12" s="1" a="1"/>
  <c r="J23" i="12" s="1"/>
  <c r="N256" i="36"/>
  <c r="N255" i="36"/>
  <c r="N254" i="36"/>
  <c r="N253" i="36"/>
  <c r="N252" i="36"/>
  <c r="N251" i="36"/>
  <c r="N250" i="36"/>
  <c r="N249" i="36"/>
  <c r="N248" i="36"/>
  <c r="N247" i="36"/>
  <c r="N246" i="36"/>
  <c r="N245" i="36"/>
  <c r="N244" i="36"/>
  <c r="N243" i="36"/>
  <c r="N242" i="36"/>
  <c r="N241" i="36"/>
  <c r="N240" i="36"/>
  <c r="N239" i="36"/>
  <c r="N238" i="36"/>
  <c r="N237" i="36"/>
  <c r="N236" i="36"/>
  <c r="N235" i="36"/>
  <c r="N234" i="36"/>
  <c r="N233" i="36"/>
  <c r="N232" i="36"/>
  <c r="N231" i="36"/>
  <c r="N230" i="36"/>
  <c r="N229" i="36"/>
  <c r="N228" i="36"/>
  <c r="N227" i="36"/>
  <c r="N226" i="36"/>
  <c r="N225" i="36"/>
  <c r="N224" i="36"/>
  <c r="N223" i="36"/>
  <c r="N222" i="36"/>
  <c r="N221" i="36"/>
  <c r="N220" i="36"/>
  <c r="N219" i="36"/>
  <c r="N218" i="36"/>
  <c r="N217" i="36"/>
  <c r="N216" i="36"/>
  <c r="N215" i="36"/>
  <c r="N214" i="36"/>
  <c r="N213" i="36"/>
  <c r="N212" i="36"/>
  <c r="N211" i="36"/>
  <c r="N210" i="36"/>
  <c r="N209" i="36"/>
  <c r="N208" i="36"/>
  <c r="N207" i="36"/>
  <c r="N206" i="36"/>
  <c r="N205" i="36"/>
  <c r="N204" i="36"/>
  <c r="N203" i="36"/>
  <c r="N202" i="36"/>
  <c r="N201" i="36"/>
  <c r="N200" i="36"/>
  <c r="N199" i="36"/>
  <c r="N198" i="36"/>
  <c r="N197" i="36"/>
  <c r="N196" i="36"/>
  <c r="N195" i="36"/>
  <c r="N194" i="36"/>
  <c r="N193" i="36"/>
  <c r="N192" i="36"/>
  <c r="N191" i="36"/>
  <c r="N190" i="36"/>
  <c r="N189" i="36"/>
  <c r="N188" i="36"/>
  <c r="N187" i="36"/>
  <c r="N186" i="36"/>
  <c r="N185" i="36"/>
  <c r="N184" i="36"/>
  <c r="N183" i="36"/>
  <c r="N182" i="36"/>
  <c r="N181" i="36"/>
  <c r="N180" i="36"/>
  <c r="N179" i="36"/>
  <c r="N178" i="36"/>
  <c r="N177" i="36"/>
  <c r="N176" i="36"/>
  <c r="N175" i="36"/>
  <c r="N174" i="36"/>
  <c r="N173" i="36"/>
  <c r="N172" i="36"/>
  <c r="N171" i="36"/>
  <c r="N170" i="36"/>
  <c r="N169" i="36"/>
  <c r="N168" i="36"/>
  <c r="N167" i="36"/>
  <c r="N166" i="36"/>
  <c r="N165" i="36"/>
  <c r="N164" i="36"/>
  <c r="N163" i="36"/>
  <c r="N162" i="36"/>
  <c r="N161" i="36"/>
  <c r="N160" i="36"/>
  <c r="N159" i="36"/>
  <c r="N158" i="36"/>
  <c r="N157" i="36"/>
  <c r="N156" i="36"/>
  <c r="N155" i="36"/>
  <c r="N154" i="36"/>
  <c r="N153" i="36"/>
  <c r="N152" i="36"/>
  <c r="N151" i="36"/>
  <c r="N150" i="36"/>
  <c r="N149" i="36"/>
  <c r="N148" i="36"/>
  <c r="N147" i="36"/>
  <c r="N146" i="36"/>
  <c r="N145" i="36"/>
  <c r="N144" i="36"/>
  <c r="N143" i="36"/>
  <c r="N142" i="36"/>
  <c r="N141" i="36"/>
  <c r="N140" i="36"/>
  <c r="N139" i="36"/>
  <c r="N138" i="36"/>
  <c r="N137" i="36"/>
  <c r="N136" i="36"/>
  <c r="N135" i="36"/>
  <c r="N134" i="36"/>
  <c r="N133" i="36"/>
  <c r="N132" i="36"/>
  <c r="N131" i="36"/>
  <c r="N130" i="36"/>
  <c r="N129" i="36"/>
  <c r="N128" i="36"/>
  <c r="N127" i="36"/>
  <c r="N126" i="36"/>
  <c r="N125" i="36"/>
  <c r="N124" i="36"/>
  <c r="N123" i="36"/>
  <c r="N122" i="36"/>
  <c r="N121" i="36"/>
  <c r="N120" i="36"/>
  <c r="N119" i="36"/>
  <c r="N118" i="36"/>
  <c r="N117" i="36"/>
  <c r="N116" i="36"/>
  <c r="N115" i="36"/>
  <c r="N114" i="36"/>
  <c r="N113" i="36"/>
  <c r="N112" i="36"/>
  <c r="N111" i="36"/>
  <c r="N110" i="36"/>
  <c r="N109" i="36"/>
  <c r="N108" i="36"/>
  <c r="N107" i="36"/>
  <c r="N106" i="36"/>
  <c r="N105" i="36"/>
  <c r="N104" i="36"/>
  <c r="N103" i="36"/>
  <c r="N102" i="36"/>
  <c r="N101" i="36"/>
  <c r="N100" i="36"/>
  <c r="N99" i="36"/>
  <c r="N98" i="36"/>
  <c r="N97" i="36"/>
  <c r="N96" i="36"/>
  <c r="N95" i="36"/>
  <c r="N94" i="36"/>
  <c r="N93" i="36"/>
  <c r="N92" i="36"/>
  <c r="N91" i="36"/>
  <c r="N90" i="36"/>
  <c r="N89" i="36"/>
  <c r="N88" i="36"/>
  <c r="N87" i="36"/>
  <c r="N86" i="36"/>
  <c r="N85" i="36"/>
  <c r="N84" i="36"/>
  <c r="N83"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N10" i="36"/>
  <c r="N9" i="36"/>
  <c r="N8" i="36"/>
  <c r="N7" i="36"/>
  <c r="N6" i="36"/>
  <c r="N5" i="36"/>
  <c r="N4" i="36"/>
  <c r="N3" i="36"/>
  <c r="N2" i="36"/>
  <c r="G3" i="36"/>
  <c r="G4" i="36"/>
  <c r="H4" i="36"/>
  <c r="G5" i="36"/>
  <c r="H5" i="36"/>
  <c r="G6" i="36"/>
  <c r="H6" i="36"/>
  <c r="G7" i="36"/>
  <c r="G8" i="36"/>
  <c r="G9" i="36"/>
  <c r="G10" i="36"/>
  <c r="G11" i="36"/>
  <c r="G12" i="36"/>
  <c r="G13" i="36"/>
  <c r="G14" i="36"/>
  <c r="G15" i="36"/>
  <c r="H15" i="36"/>
  <c r="G16" i="36"/>
  <c r="H16" i="36"/>
  <c r="G17" i="36"/>
  <c r="H17" i="36"/>
  <c r="G18" i="36"/>
  <c r="H18" i="36"/>
  <c r="G19" i="36"/>
  <c r="H19" i="36"/>
  <c r="G20" i="36"/>
  <c r="H20" i="36"/>
  <c r="G21" i="36"/>
  <c r="H21" i="36"/>
  <c r="G22" i="36"/>
  <c r="H22" i="36"/>
  <c r="G23" i="36"/>
  <c r="H23" i="36"/>
  <c r="G24" i="36"/>
  <c r="H24" i="36"/>
  <c r="G25" i="36"/>
  <c r="G26" i="36"/>
  <c r="H26" i="36"/>
  <c r="G27" i="36"/>
  <c r="G28" i="36"/>
  <c r="G29" i="36"/>
  <c r="G30" i="36"/>
  <c r="G31" i="36"/>
  <c r="G32" i="36"/>
  <c r="G33" i="36"/>
  <c r="G34" i="36"/>
  <c r="G35" i="36"/>
  <c r="G36" i="36"/>
  <c r="G37" i="36"/>
  <c r="H37" i="36"/>
  <c r="G38" i="36"/>
  <c r="H38" i="36"/>
  <c r="G39" i="36"/>
  <c r="H39" i="36"/>
  <c r="G40" i="36"/>
  <c r="H40" i="36"/>
  <c r="G41" i="36"/>
  <c r="H41" i="36"/>
  <c r="G42" i="36"/>
  <c r="H42" i="36"/>
  <c r="G43" i="36"/>
  <c r="H43" i="36"/>
  <c r="G44" i="36"/>
  <c r="H44" i="36"/>
  <c r="G45" i="36"/>
  <c r="H45" i="36"/>
  <c r="G46" i="36"/>
  <c r="H46" i="36"/>
  <c r="G47" i="36"/>
  <c r="G48" i="36"/>
  <c r="H48" i="36"/>
  <c r="G49" i="36"/>
  <c r="H49" i="36"/>
  <c r="G50" i="36"/>
  <c r="H50" i="36"/>
  <c r="G51" i="36"/>
  <c r="H51" i="36"/>
  <c r="G52" i="36"/>
  <c r="H52" i="36"/>
  <c r="G53" i="36"/>
  <c r="H53" i="36"/>
  <c r="G54" i="36"/>
  <c r="H54" i="36"/>
  <c r="G55" i="36"/>
  <c r="H55" i="36"/>
  <c r="G56" i="36"/>
  <c r="H56" i="36"/>
  <c r="G57" i="36"/>
  <c r="H57" i="36"/>
  <c r="G58" i="36"/>
  <c r="G59" i="36"/>
  <c r="H59" i="36"/>
  <c r="G60" i="36"/>
  <c r="H60" i="36"/>
  <c r="G61" i="36"/>
  <c r="H61" i="36"/>
  <c r="G62" i="36"/>
  <c r="H62" i="36"/>
  <c r="G63" i="36"/>
  <c r="H63" i="36"/>
  <c r="G64" i="36"/>
  <c r="H64" i="36"/>
  <c r="G65" i="36"/>
  <c r="H65" i="36"/>
  <c r="G66" i="36"/>
  <c r="H66" i="36"/>
  <c r="G67" i="36"/>
  <c r="H67" i="36"/>
  <c r="G68" i="36"/>
  <c r="H68" i="36"/>
  <c r="G69" i="36"/>
  <c r="G70" i="36"/>
  <c r="H70" i="36"/>
  <c r="G71" i="36"/>
  <c r="H71" i="36"/>
  <c r="G72" i="36"/>
  <c r="H72" i="36"/>
  <c r="G73" i="36"/>
  <c r="H73" i="36"/>
  <c r="G74" i="36"/>
  <c r="H74" i="36"/>
  <c r="G75" i="36"/>
  <c r="H75" i="36"/>
  <c r="G76" i="36"/>
  <c r="H76" i="36"/>
  <c r="G77" i="36"/>
  <c r="H77" i="36"/>
  <c r="G78" i="36"/>
  <c r="H78" i="36"/>
  <c r="G79" i="36"/>
  <c r="H79" i="36"/>
  <c r="G80" i="36"/>
  <c r="G81" i="36"/>
  <c r="H81" i="36"/>
  <c r="G82" i="36"/>
  <c r="H82" i="36"/>
  <c r="G83" i="36"/>
  <c r="H83" i="36"/>
  <c r="G84" i="36"/>
  <c r="H84" i="36"/>
  <c r="G85" i="36"/>
  <c r="H85" i="36"/>
  <c r="G86" i="36"/>
  <c r="H86" i="36"/>
  <c r="G87" i="36"/>
  <c r="H87" i="36"/>
  <c r="G88" i="36"/>
  <c r="H88" i="36"/>
  <c r="G89" i="36"/>
  <c r="H89" i="36"/>
  <c r="G90" i="36"/>
  <c r="H90" i="36"/>
  <c r="G91" i="36"/>
  <c r="G92" i="36"/>
  <c r="H92" i="36"/>
  <c r="G93" i="36"/>
  <c r="H93" i="36"/>
  <c r="G94" i="36"/>
  <c r="H94" i="36"/>
  <c r="G95" i="36"/>
  <c r="H95" i="36"/>
  <c r="G96" i="36"/>
  <c r="H96" i="36"/>
  <c r="G97" i="36"/>
  <c r="H97" i="36"/>
  <c r="G98" i="36"/>
  <c r="H98" i="36"/>
  <c r="G99" i="36"/>
  <c r="H99" i="36"/>
  <c r="G100" i="36"/>
  <c r="H100" i="36"/>
  <c r="G101" i="36"/>
  <c r="H101" i="36"/>
  <c r="G102" i="36"/>
  <c r="G103" i="36"/>
  <c r="H103" i="36"/>
  <c r="G104" i="36"/>
  <c r="H104" i="36"/>
  <c r="G105" i="36"/>
  <c r="H105" i="36"/>
  <c r="G106" i="36"/>
  <c r="H106" i="36"/>
  <c r="G107" i="36"/>
  <c r="H107" i="36"/>
  <c r="G108" i="36"/>
  <c r="H108" i="36"/>
  <c r="G109" i="36"/>
  <c r="H109" i="36"/>
  <c r="G110" i="36"/>
  <c r="H110" i="36"/>
  <c r="G111" i="36"/>
  <c r="H111" i="36"/>
  <c r="G112" i="36"/>
  <c r="H112" i="36"/>
  <c r="G113" i="36"/>
  <c r="G114" i="36"/>
  <c r="H114" i="36"/>
  <c r="G115" i="36"/>
  <c r="H115" i="36"/>
  <c r="G116" i="36"/>
  <c r="H116" i="36"/>
  <c r="G117" i="36"/>
  <c r="H117" i="36"/>
  <c r="G118" i="36"/>
  <c r="H118" i="36"/>
  <c r="G119" i="36"/>
  <c r="H119" i="36"/>
  <c r="G120" i="36"/>
  <c r="H120" i="36"/>
  <c r="G121" i="36"/>
  <c r="H121" i="36"/>
  <c r="G122" i="36"/>
  <c r="H122" i="36"/>
  <c r="G123" i="36"/>
  <c r="H123" i="36"/>
  <c r="G124" i="36"/>
  <c r="G125" i="36"/>
  <c r="H125" i="36"/>
  <c r="G126" i="36"/>
  <c r="H126" i="36"/>
  <c r="G127" i="36"/>
  <c r="H127" i="36"/>
  <c r="G128" i="36"/>
  <c r="H128" i="36"/>
  <c r="G129" i="36"/>
  <c r="H129" i="36"/>
  <c r="G130" i="36"/>
  <c r="H130" i="36"/>
  <c r="G131" i="36"/>
  <c r="H131" i="36"/>
  <c r="G132" i="36"/>
  <c r="H132" i="36"/>
  <c r="G133" i="36"/>
  <c r="H133" i="36"/>
  <c r="G134" i="36"/>
  <c r="H134" i="36"/>
  <c r="G135" i="36"/>
  <c r="G136" i="36"/>
  <c r="H136" i="36"/>
  <c r="G137" i="36"/>
  <c r="H137" i="36"/>
  <c r="G138" i="36"/>
  <c r="H138" i="36"/>
  <c r="G139" i="36"/>
  <c r="H139" i="36"/>
  <c r="G140" i="36"/>
  <c r="H140" i="36"/>
  <c r="G141" i="36"/>
  <c r="H141" i="36"/>
  <c r="G142" i="36"/>
  <c r="H142" i="36"/>
  <c r="G143" i="36"/>
  <c r="H143" i="36"/>
  <c r="G144" i="36"/>
  <c r="H144" i="36"/>
  <c r="G145" i="36"/>
  <c r="H145" i="36"/>
  <c r="G147" i="36"/>
  <c r="G148" i="36"/>
  <c r="H148" i="36"/>
  <c r="G149" i="36"/>
  <c r="H149" i="36"/>
  <c r="G150" i="36"/>
  <c r="H150" i="36"/>
  <c r="G151" i="36"/>
  <c r="H151" i="36"/>
  <c r="G152" i="36"/>
  <c r="H152" i="36"/>
  <c r="G153" i="36"/>
  <c r="H153" i="36"/>
  <c r="G154" i="36"/>
  <c r="H154" i="36"/>
  <c r="G155" i="36"/>
  <c r="H155" i="36"/>
  <c r="G156" i="36"/>
  <c r="H156" i="36"/>
  <c r="G157" i="36"/>
  <c r="H157" i="36"/>
  <c r="G158" i="36"/>
  <c r="G159" i="36"/>
  <c r="H159" i="36"/>
  <c r="G160" i="36"/>
  <c r="H160" i="36"/>
  <c r="G161" i="36"/>
  <c r="H161" i="36"/>
  <c r="G162" i="36"/>
  <c r="H162" i="36"/>
  <c r="G163" i="36"/>
  <c r="H163" i="36"/>
  <c r="G164" i="36"/>
  <c r="H164" i="36"/>
  <c r="G165" i="36"/>
  <c r="H165" i="36"/>
  <c r="G166" i="36"/>
  <c r="H166" i="36"/>
  <c r="G167" i="36"/>
  <c r="H167" i="36"/>
  <c r="G168" i="36"/>
  <c r="H168" i="36"/>
  <c r="G169" i="36"/>
  <c r="G170" i="36"/>
  <c r="H170" i="36"/>
  <c r="G171" i="36"/>
  <c r="H171" i="36"/>
  <c r="G172" i="36"/>
  <c r="H172" i="36"/>
  <c r="G173" i="36"/>
  <c r="H173" i="36"/>
  <c r="G174" i="36"/>
  <c r="H174" i="36"/>
  <c r="G175" i="36"/>
  <c r="H175" i="36"/>
  <c r="G176" i="36"/>
  <c r="H176" i="36"/>
  <c r="G177" i="36"/>
  <c r="H177" i="36"/>
  <c r="G178" i="36"/>
  <c r="H178" i="36"/>
  <c r="G179" i="36"/>
  <c r="H179" i="36"/>
  <c r="G180" i="36"/>
  <c r="G181" i="36"/>
  <c r="H181" i="36"/>
  <c r="G182" i="36"/>
  <c r="H182" i="36"/>
  <c r="G183" i="36"/>
  <c r="H183" i="36"/>
  <c r="G184" i="36"/>
  <c r="H184" i="36"/>
  <c r="G185" i="36"/>
  <c r="H185" i="36"/>
  <c r="G186" i="36"/>
  <c r="H186" i="36"/>
  <c r="G187" i="36"/>
  <c r="H187" i="36"/>
  <c r="G188" i="36"/>
  <c r="H188" i="36"/>
  <c r="G189" i="36"/>
  <c r="H189" i="36"/>
  <c r="G190" i="36"/>
  <c r="H190" i="36"/>
  <c r="G191" i="36"/>
  <c r="G192" i="36"/>
  <c r="H192" i="36"/>
  <c r="G193" i="36"/>
  <c r="H193" i="36"/>
  <c r="G194" i="36"/>
  <c r="H194" i="36"/>
  <c r="G195" i="36"/>
  <c r="H195" i="36"/>
  <c r="G196" i="36"/>
  <c r="H196" i="36"/>
  <c r="G197" i="36"/>
  <c r="H197" i="36"/>
  <c r="G198" i="36"/>
  <c r="H198" i="36"/>
  <c r="G199" i="36"/>
  <c r="H199" i="36"/>
  <c r="G200" i="36"/>
  <c r="H200" i="36"/>
  <c r="G201" i="36"/>
  <c r="H201" i="36"/>
  <c r="G202" i="36"/>
  <c r="G203" i="36"/>
  <c r="H203" i="36"/>
  <c r="G204" i="36"/>
  <c r="H204" i="36"/>
  <c r="G205" i="36"/>
  <c r="H205" i="36"/>
  <c r="G206" i="36"/>
  <c r="H206" i="36"/>
  <c r="G207" i="36"/>
  <c r="H207" i="36"/>
  <c r="G208" i="36"/>
  <c r="H208" i="36"/>
  <c r="G209" i="36"/>
  <c r="H209" i="36"/>
  <c r="G210" i="36"/>
  <c r="H210" i="36"/>
  <c r="G211" i="36"/>
  <c r="H211" i="36"/>
  <c r="G212" i="36"/>
  <c r="H212" i="36"/>
  <c r="G213" i="36"/>
  <c r="G214" i="36"/>
  <c r="H214" i="36"/>
  <c r="G215" i="36"/>
  <c r="H215" i="36"/>
  <c r="G216" i="36"/>
  <c r="H216" i="36"/>
  <c r="G217" i="36"/>
  <c r="H217" i="36"/>
  <c r="G218" i="36"/>
  <c r="H218" i="36"/>
  <c r="G219" i="36"/>
  <c r="H219" i="36"/>
  <c r="G220" i="36"/>
  <c r="H220" i="36"/>
  <c r="G221" i="36"/>
  <c r="H221" i="36"/>
  <c r="G222" i="36"/>
  <c r="H222" i="36"/>
  <c r="G223" i="36"/>
  <c r="H223" i="36"/>
  <c r="G224" i="36"/>
  <c r="G225" i="36"/>
  <c r="H225" i="36"/>
  <c r="G226" i="36"/>
  <c r="H226" i="36"/>
  <c r="G227" i="36"/>
  <c r="H227" i="36"/>
  <c r="G228" i="36"/>
  <c r="H228" i="36"/>
  <c r="G229" i="36"/>
  <c r="H229" i="36"/>
  <c r="G230" i="36"/>
  <c r="H230" i="36"/>
  <c r="G231" i="36"/>
  <c r="H231" i="36"/>
  <c r="G232" i="36"/>
  <c r="H232" i="36"/>
  <c r="G233" i="36"/>
  <c r="H233" i="36"/>
  <c r="G234" i="36"/>
  <c r="H234" i="36"/>
  <c r="G235" i="36"/>
  <c r="G236" i="36"/>
  <c r="H236" i="36"/>
  <c r="G237" i="36"/>
  <c r="H237" i="36"/>
  <c r="G238" i="36"/>
  <c r="H238" i="36"/>
  <c r="G239" i="36"/>
  <c r="H239" i="36"/>
  <c r="G240" i="36"/>
  <c r="H240" i="36"/>
  <c r="G241" i="36"/>
  <c r="H241" i="36"/>
  <c r="G242" i="36"/>
  <c r="H242" i="36"/>
  <c r="G243" i="36"/>
  <c r="H243" i="36"/>
  <c r="G244" i="36"/>
  <c r="H244" i="36"/>
  <c r="G245" i="36"/>
  <c r="H245" i="36"/>
  <c r="G246" i="36"/>
  <c r="G247" i="36"/>
  <c r="H247" i="36"/>
  <c r="G248" i="36"/>
  <c r="H248" i="36"/>
  <c r="G249" i="36"/>
  <c r="H249" i="36"/>
  <c r="G250" i="36"/>
  <c r="H250" i="36"/>
  <c r="G251" i="36"/>
  <c r="H251" i="36"/>
  <c r="G252" i="36"/>
  <c r="H252" i="36"/>
  <c r="G253" i="36"/>
  <c r="H253" i="36"/>
  <c r="G254" i="36"/>
  <c r="H254" i="36"/>
  <c r="G255" i="36"/>
  <c r="H255" i="36"/>
  <c r="G256" i="36"/>
  <c r="H256" i="36"/>
  <c r="G258" i="36"/>
  <c r="G259" i="36"/>
  <c r="H259" i="36"/>
  <c r="G260" i="36"/>
  <c r="H260" i="36"/>
  <c r="G261" i="36"/>
  <c r="H261" i="36"/>
  <c r="G262" i="36"/>
  <c r="H262" i="36"/>
  <c r="G263" i="36"/>
  <c r="H263" i="36"/>
  <c r="G264" i="36"/>
  <c r="H264" i="36"/>
  <c r="G265" i="36"/>
  <c r="H265" i="36"/>
  <c r="G266" i="36"/>
  <c r="H266" i="36"/>
  <c r="G267" i="36"/>
  <c r="H267" i="36"/>
  <c r="G268" i="36"/>
  <c r="H268" i="36"/>
  <c r="G269" i="36"/>
  <c r="G270" i="36"/>
  <c r="H270" i="36"/>
  <c r="G271" i="36"/>
  <c r="H271" i="36"/>
  <c r="G272" i="36"/>
  <c r="H272" i="36"/>
  <c r="G273" i="36"/>
  <c r="H273" i="36"/>
  <c r="G274" i="36"/>
  <c r="H274" i="36"/>
  <c r="G275" i="36"/>
  <c r="H275" i="36"/>
  <c r="G276" i="36"/>
  <c r="H276" i="36"/>
  <c r="G277" i="36"/>
  <c r="H277" i="36"/>
  <c r="G278" i="36"/>
  <c r="H278" i="36"/>
  <c r="G279" i="36"/>
  <c r="H279" i="36"/>
  <c r="G280" i="36"/>
  <c r="G281" i="36"/>
  <c r="H281" i="36"/>
  <c r="G282" i="36"/>
  <c r="H282" i="36"/>
  <c r="G283" i="36"/>
  <c r="H283" i="36"/>
  <c r="G284" i="36"/>
  <c r="H284" i="36"/>
  <c r="G285" i="36"/>
  <c r="H285" i="36"/>
  <c r="G286" i="36"/>
  <c r="H286" i="36"/>
  <c r="G287" i="36"/>
  <c r="H287" i="36"/>
  <c r="G288" i="36"/>
  <c r="H288" i="36"/>
  <c r="G289" i="36"/>
  <c r="H289" i="36"/>
  <c r="G290" i="36"/>
  <c r="H290" i="36"/>
  <c r="G291" i="36"/>
  <c r="G292" i="36"/>
  <c r="H292" i="36"/>
  <c r="G293" i="36"/>
  <c r="H293" i="36"/>
  <c r="G294" i="36"/>
  <c r="H294" i="36"/>
  <c r="G295" i="36"/>
  <c r="H295" i="36"/>
  <c r="G296" i="36"/>
  <c r="H296" i="36"/>
  <c r="G297" i="36"/>
  <c r="H297" i="36"/>
  <c r="G298" i="36"/>
  <c r="H298" i="36"/>
  <c r="G299" i="36"/>
  <c r="H299" i="36"/>
  <c r="G300" i="36"/>
  <c r="H300" i="36"/>
  <c r="G301" i="36"/>
  <c r="H301" i="36"/>
  <c r="G302" i="36"/>
  <c r="G303" i="36"/>
  <c r="H303" i="36"/>
  <c r="G304" i="36"/>
  <c r="H304" i="36"/>
  <c r="G305" i="36"/>
  <c r="H305" i="36"/>
  <c r="G306" i="36"/>
  <c r="H306" i="36"/>
  <c r="G307" i="36"/>
  <c r="H307" i="36"/>
  <c r="G308" i="36"/>
  <c r="H308" i="36"/>
  <c r="G309" i="36"/>
  <c r="H309" i="36"/>
  <c r="G310" i="36"/>
  <c r="H310" i="36"/>
  <c r="G311" i="36"/>
  <c r="H311" i="36"/>
  <c r="G312" i="36"/>
  <c r="H312" i="36"/>
  <c r="A43" i="105"/>
  <c r="A25" i="67"/>
  <c r="F136" i="1"/>
  <c r="F137" i="1"/>
  <c r="F134" i="1"/>
  <c r="F135" i="1"/>
  <c r="F133" i="1"/>
  <c r="F132" i="1"/>
  <c r="F131" i="1"/>
  <c r="F130" i="1"/>
  <c r="B21" i="2" l="1"/>
  <c r="BO8" i="32" a="1"/>
  <c r="BO8" i="32" s="1"/>
  <c r="F20" i="2"/>
  <c r="I23" i="12" a="1"/>
  <c r="I23" i="12" s="1"/>
  <c r="J62" i="12" a="1"/>
  <c r="J62" i="12" s="1"/>
  <c r="B123" i="12" a="1"/>
  <c r="B123" i="12" s="1"/>
  <c r="B107" i="12" a="1"/>
  <c r="B107" i="12" s="1"/>
  <c r="B125" i="12" a="1"/>
  <c r="B125" i="12" s="1"/>
  <c r="B138" i="12" a="1"/>
  <c r="B138" i="12" s="1"/>
  <c r="B151" i="12" a="1"/>
  <c r="B151" i="12" s="1"/>
  <c r="B164" i="12" a="1"/>
  <c r="B164" i="12" s="1"/>
  <c r="B177" i="12" a="1"/>
  <c r="B177" i="12" s="1"/>
  <c r="J122" i="12" a="1"/>
  <c r="J122" i="12" s="1"/>
  <c r="I122" i="12" a="1"/>
  <c r="I122" i="12" s="1"/>
  <c r="B52" i="12" a="1"/>
  <c r="B52" i="12" s="1"/>
  <c r="B69" i="12" a="1"/>
  <c r="B69" i="12" s="1"/>
  <c r="B87" i="12" a="1"/>
  <c r="B87" i="12" s="1"/>
  <c r="B104" i="12" a="1"/>
  <c r="B104" i="12" s="1"/>
  <c r="B121" i="12" a="1"/>
  <c r="B121" i="12" s="1"/>
  <c r="B139" i="12" a="1"/>
  <c r="B139" i="12" s="1"/>
  <c r="B152" i="12" a="1"/>
  <c r="B152" i="12" s="1"/>
  <c r="B169" i="12" a="1"/>
  <c r="B169" i="12" s="1"/>
  <c r="B35" i="12" a="1"/>
  <c r="B35" i="12" s="1"/>
  <c r="B81" i="12" a="1"/>
  <c r="B81" i="12" s="1"/>
  <c r="B90" i="12" a="1"/>
  <c r="B90" i="12" s="1"/>
  <c r="B99" i="12" a="1"/>
  <c r="B99" i="12" s="1"/>
  <c r="B112" i="12" a="1"/>
  <c r="B112" i="12" s="1"/>
  <c r="B120" i="12" a="1"/>
  <c r="B120" i="12" s="1"/>
  <c r="B133" i="12" a="1"/>
  <c r="B133" i="12" s="1"/>
  <c r="B142" i="12" a="1"/>
  <c r="B142" i="12" s="1"/>
  <c r="B155" i="12" a="1"/>
  <c r="B155" i="12" s="1"/>
  <c r="B168" i="12" a="1"/>
  <c r="B168" i="12" s="1"/>
  <c r="B30" i="12" a="1"/>
  <c r="B30" i="12" s="1"/>
  <c r="B41" i="12" a="1"/>
  <c r="B41" i="12" s="1"/>
  <c r="B60" i="12" a="1"/>
  <c r="B60" i="12" s="1"/>
  <c r="B73" i="12" a="1"/>
  <c r="B73" i="12" s="1"/>
  <c r="B91" i="12" a="1"/>
  <c r="B91" i="12" s="1"/>
  <c r="B108" i="12" a="1"/>
  <c r="B108" i="12" s="1"/>
  <c r="B126" i="12" a="1"/>
  <c r="B126" i="12" s="1"/>
  <c r="B143" i="12" a="1"/>
  <c r="B143" i="12" s="1"/>
  <c r="B161" i="12" a="1"/>
  <c r="B161" i="12" s="1"/>
  <c r="B178" i="12" a="1"/>
  <c r="B178" i="12" s="1"/>
  <c r="B77" i="12" a="1"/>
  <c r="B77" i="12" s="1"/>
  <c r="B85" i="12" a="1"/>
  <c r="B85" i="12" s="1"/>
  <c r="B94" i="12" a="1"/>
  <c r="B94" i="12" s="1"/>
  <c r="B103" i="12" a="1"/>
  <c r="B103" i="12" s="1"/>
  <c r="B116" i="12" a="1"/>
  <c r="B116" i="12" s="1"/>
  <c r="B129" i="12" a="1"/>
  <c r="B129" i="12" s="1"/>
  <c r="B147" i="12" a="1"/>
  <c r="B147" i="12" s="1"/>
  <c r="B160" i="12" a="1"/>
  <c r="B160" i="12" s="1"/>
  <c r="B173" i="12" a="1"/>
  <c r="B173" i="12" s="1"/>
  <c r="B34" i="12" a="1"/>
  <c r="B34" i="12" s="1"/>
  <c r="J170" i="12" a="1"/>
  <c r="J170" i="12" s="1"/>
  <c r="I170" i="12" a="1"/>
  <c r="I170" i="12" s="1"/>
  <c r="B56" i="12" a="1"/>
  <c r="B56" i="12" s="1"/>
  <c r="B78" i="12" a="1"/>
  <c r="B78" i="12" s="1"/>
  <c r="B95" i="12" a="1"/>
  <c r="B95" i="12" s="1"/>
  <c r="B113" i="12" a="1"/>
  <c r="B113" i="12" s="1"/>
  <c r="B130" i="12" a="1"/>
  <c r="B130" i="12" s="1"/>
  <c r="B148" i="12" a="1"/>
  <c r="B148" i="12" s="1"/>
  <c r="B165" i="12" a="1"/>
  <c r="B165" i="12" s="1"/>
  <c r="B31" i="12" a="1"/>
  <c r="B31" i="12" s="1"/>
  <c r="J74" i="12" a="1"/>
  <c r="J74" i="12" s="1"/>
  <c r="I74" i="12" a="1"/>
  <c r="I74" i="12" s="1"/>
  <c r="B45" i="12" a="1"/>
  <c r="B45" i="12" s="1"/>
  <c r="B65" i="12" a="1"/>
  <c r="B65" i="12" s="1"/>
  <c r="B82" i="12" a="1"/>
  <c r="B82" i="12" s="1"/>
  <c r="B100" i="12" a="1"/>
  <c r="B100" i="12" s="1"/>
  <c r="B117" i="12" a="1"/>
  <c r="B117" i="12" s="1"/>
  <c r="B135" i="12" a="1"/>
  <c r="B135" i="12" s="1"/>
  <c r="B156" i="12" a="1"/>
  <c r="B156" i="12" s="1"/>
  <c r="B174" i="12" a="1"/>
  <c r="B174" i="12" s="1"/>
  <c r="B68" i="12" a="1"/>
  <c r="B68" i="12" s="1"/>
  <c r="B59" i="12" a="1"/>
  <c r="B59" i="12" s="1"/>
  <c r="B48" i="12" a="1"/>
  <c r="B48" i="12" s="1"/>
  <c r="B40" i="12" a="1"/>
  <c r="B40" i="12" s="1"/>
  <c r="I86" i="12" a="1"/>
  <c r="I86" i="12" s="1"/>
  <c r="J86" i="12" a="1"/>
  <c r="J86" i="12" s="1"/>
  <c r="J38" i="12" a="1"/>
  <c r="J38" i="12" s="1"/>
  <c r="B72" i="12" a="1"/>
  <c r="B72" i="12" s="1"/>
  <c r="B64" i="12" a="1"/>
  <c r="B64" i="12" s="1"/>
  <c r="B55" i="12" a="1"/>
  <c r="B55" i="12" s="1"/>
  <c r="B44" i="12" a="1"/>
  <c r="B44" i="12" s="1"/>
  <c r="I134" i="12" a="1"/>
  <c r="I134" i="12" s="1"/>
  <c r="I38" i="12" a="1"/>
  <c r="I38" i="12" s="1"/>
  <c r="J134" i="12" a="1"/>
  <c r="J134" i="12" s="1"/>
  <c r="B33" i="12" a="1"/>
  <c r="B33" i="12" s="1"/>
  <c r="B180" i="12" a="1"/>
  <c r="B180" i="12" s="1"/>
  <c r="B176" i="12" a="1"/>
  <c r="B176" i="12" s="1"/>
  <c r="B172" i="12" a="1"/>
  <c r="B172" i="12" s="1"/>
  <c r="B167" i="12" a="1"/>
  <c r="B167" i="12" s="1"/>
  <c r="B163" i="12" a="1"/>
  <c r="B163" i="12" s="1"/>
  <c r="B159" i="12" a="1"/>
  <c r="B159" i="12" s="1"/>
  <c r="B154" i="12" a="1"/>
  <c r="B154" i="12" s="1"/>
  <c r="B150" i="12" a="1"/>
  <c r="B150" i="12" s="1"/>
  <c r="B145" i="12" a="1"/>
  <c r="B145" i="12" s="1"/>
  <c r="B141" i="12" a="1"/>
  <c r="B141" i="12" s="1"/>
  <c r="B137" i="12" a="1"/>
  <c r="B137" i="12" s="1"/>
  <c r="B132" i="12" a="1"/>
  <c r="B132" i="12" s="1"/>
  <c r="B128" i="12" a="1"/>
  <c r="B128" i="12" s="1"/>
  <c r="B124" i="12" a="1"/>
  <c r="B124" i="12" s="1"/>
  <c r="B119" i="12" a="1"/>
  <c r="B119" i="12" s="1"/>
  <c r="B115" i="12" a="1"/>
  <c r="B115" i="12" s="1"/>
  <c r="B111" i="12" a="1"/>
  <c r="B111" i="12" s="1"/>
  <c r="B106" i="12" a="1"/>
  <c r="B106" i="12" s="1"/>
  <c r="B102" i="12" a="1"/>
  <c r="B102" i="12" s="1"/>
  <c r="B97" i="12" a="1"/>
  <c r="B97" i="12" s="1"/>
  <c r="B93" i="12" a="1"/>
  <c r="B93" i="12" s="1"/>
  <c r="B89" i="12" a="1"/>
  <c r="B89" i="12" s="1"/>
  <c r="B84" i="12" a="1"/>
  <c r="B84" i="12" s="1"/>
  <c r="B80" i="12" a="1"/>
  <c r="B80" i="12" s="1"/>
  <c r="B76" i="12" a="1"/>
  <c r="B76" i="12" s="1"/>
  <c r="B71" i="12" a="1"/>
  <c r="B71" i="12" s="1"/>
  <c r="B67" i="12" a="1"/>
  <c r="B67" i="12" s="1"/>
  <c r="B63" i="12" a="1"/>
  <c r="B63" i="12" s="1"/>
  <c r="B58" i="12" a="1"/>
  <c r="B58" i="12" s="1"/>
  <c r="B54" i="12" a="1"/>
  <c r="B54" i="12" s="1"/>
  <c r="B47" i="12" a="1"/>
  <c r="B47" i="12" s="1"/>
  <c r="B43" i="12" a="1"/>
  <c r="B43" i="12" s="1"/>
  <c r="B39" i="12" a="1"/>
  <c r="B39" i="12" s="1"/>
  <c r="I146" i="12" a="1"/>
  <c r="I146" i="12" s="1"/>
  <c r="I98" i="12" a="1"/>
  <c r="I98" i="12" s="1"/>
  <c r="I50" i="12" a="1"/>
  <c r="I50" i="12" s="1"/>
  <c r="J146" i="12" a="1"/>
  <c r="J146" i="12" s="1"/>
  <c r="J98" i="12" a="1"/>
  <c r="J98" i="12" s="1"/>
  <c r="J50" i="12" a="1"/>
  <c r="J50" i="12" s="1"/>
  <c r="B36" i="12" a="1"/>
  <c r="B36" i="12" s="1"/>
  <c r="B32" i="12" a="1"/>
  <c r="B32" i="12" s="1"/>
  <c r="B179" i="12" a="1"/>
  <c r="B179" i="12" s="1"/>
  <c r="B175" i="12" a="1"/>
  <c r="B175" i="12" s="1"/>
  <c r="B171" i="12" a="1"/>
  <c r="B171" i="12" s="1"/>
  <c r="B166" i="12" a="1"/>
  <c r="B166" i="12" s="1"/>
  <c r="B162" i="12" a="1"/>
  <c r="B162" i="12" s="1"/>
  <c r="B157" i="12" a="1"/>
  <c r="B157" i="12" s="1"/>
  <c r="B153" i="12" a="1"/>
  <c r="B153" i="12" s="1"/>
  <c r="B149" i="12" a="1"/>
  <c r="B149" i="12" s="1"/>
  <c r="B144" i="12" a="1"/>
  <c r="B144" i="12" s="1"/>
  <c r="B140" i="12" a="1"/>
  <c r="B140" i="12" s="1"/>
  <c r="B136" i="12" a="1"/>
  <c r="B136" i="12" s="1"/>
  <c r="B131" i="12" a="1"/>
  <c r="B131" i="12" s="1"/>
  <c r="B127" i="12" a="1"/>
  <c r="B127" i="12" s="1"/>
  <c r="B118" i="12" a="1"/>
  <c r="B118" i="12" s="1"/>
  <c r="B114" i="12" a="1"/>
  <c r="B114" i="12" s="1"/>
  <c r="B109" i="12" a="1"/>
  <c r="B109" i="12" s="1"/>
  <c r="B105" i="12" a="1"/>
  <c r="B105" i="12" s="1"/>
  <c r="B101" i="12" a="1"/>
  <c r="B101" i="12" s="1"/>
  <c r="B96" i="12" a="1"/>
  <c r="B96" i="12" s="1"/>
  <c r="B92" i="12" a="1"/>
  <c r="B92" i="12" s="1"/>
  <c r="B88" i="12" a="1"/>
  <c r="B88" i="12" s="1"/>
  <c r="B83" i="12" a="1"/>
  <c r="B83" i="12" s="1"/>
  <c r="B79" i="12" a="1"/>
  <c r="B79" i="12" s="1"/>
  <c r="B75" i="12" a="1"/>
  <c r="B75" i="12" s="1"/>
  <c r="B70" i="12" a="1"/>
  <c r="B70" i="12" s="1"/>
  <c r="B66" i="12" a="1"/>
  <c r="B66" i="12" s="1"/>
  <c r="B61" i="12" a="1"/>
  <c r="B61" i="12" s="1"/>
  <c r="B57" i="12" a="1"/>
  <c r="B57" i="12" s="1"/>
  <c r="B53" i="12" a="1"/>
  <c r="B53" i="12" s="1"/>
  <c r="B46" i="12" a="1"/>
  <c r="B46" i="12" s="1"/>
  <c r="B42" i="12" a="1"/>
  <c r="B42" i="12" s="1"/>
  <c r="I158" i="12" a="1"/>
  <c r="I158" i="12" s="1"/>
  <c r="I110" i="12" a="1"/>
  <c r="I110" i="12" s="1"/>
  <c r="I62" i="12" a="1"/>
  <c r="I62" i="12" s="1"/>
  <c r="J158" i="12" a="1"/>
  <c r="J158" i="12" s="1"/>
  <c r="J110" i="12" a="1"/>
  <c r="J110" i="12" s="1"/>
  <c r="F124" i="1"/>
  <c r="A64" i="1"/>
  <c r="BP8" i="32" l="1" a="1"/>
  <c r="BP8" i="32" s="1"/>
  <c r="F21" i="2"/>
  <c r="A193" i="1"/>
  <c r="A176" i="1"/>
  <c r="A159" i="1"/>
  <c r="A142" i="1"/>
  <c r="A125" i="1"/>
  <c r="D43" i="2"/>
  <c r="D42" i="2"/>
  <c r="F44" i="2" l="1"/>
  <c r="G42" i="2"/>
  <c r="F25" i="1"/>
  <c r="H4" i="12"/>
  <c r="G4" i="12"/>
  <c r="A3" i="68" a="1"/>
  <c r="A3" i="68" s="1"/>
  <c r="F42" i="2"/>
  <c r="G43" i="2"/>
  <c r="B4" i="12" l="1"/>
  <c r="B6" i="12"/>
  <c r="F43" i="2"/>
  <c r="A4" i="54"/>
  <c r="BC3" i="32" a="1"/>
  <c r="BC3" i="32" s="1"/>
  <c r="BD3" i="32" a="1"/>
  <c r="BD3" i="32" s="1"/>
  <c r="BF3" i="32" a="1"/>
  <c r="BF3" i="32" s="1"/>
  <c r="BG3" i="32" a="1"/>
  <c r="BG3" i="32" s="1"/>
  <c r="BH3" i="32" a="1"/>
  <c r="BH3" i="32" s="1"/>
  <c r="BI3" i="32" a="1"/>
  <c r="BI3" i="32" s="1"/>
  <c r="BJ3" i="32" a="1"/>
  <c r="BJ3" i="32" s="1"/>
  <c r="BM3" i="32" a="1"/>
  <c r="BM3" i="32" s="1"/>
  <c r="BN3" i="32" a="1"/>
  <c r="BN3" i="32" s="1"/>
  <c r="BO3" i="32" a="1"/>
  <c r="BO3" i="32" s="1"/>
  <c r="BS3" i="32" a="1"/>
  <c r="BS3" i="32" s="1"/>
  <c r="BC4" i="32" a="1"/>
  <c r="BC4" i="32" s="1"/>
  <c r="BD4" i="32" a="1"/>
  <c r="BD4" i="32" s="1"/>
  <c r="BF4" i="32" a="1"/>
  <c r="BF4" i="32" s="1"/>
  <c r="BG4" i="32" a="1"/>
  <c r="BG4" i="32" s="1"/>
  <c r="BH4" i="32" a="1"/>
  <c r="BH4" i="32" s="1"/>
  <c r="BI4" i="32" a="1"/>
  <c r="BI4" i="32" s="1"/>
  <c r="BJ4" i="32" a="1"/>
  <c r="BJ4" i="32" s="1"/>
  <c r="BM4" i="32" a="1"/>
  <c r="BM4" i="32" s="1"/>
  <c r="BN4" i="32" a="1"/>
  <c r="BN4" i="32" s="1"/>
  <c r="BO4" i="32" a="1"/>
  <c r="BO4" i="32" s="1"/>
  <c r="BS4" i="32" a="1"/>
  <c r="BS4" i="32" s="1"/>
  <c r="BT4" i="32" s="1"/>
  <c r="BC5" i="32" a="1"/>
  <c r="BC5" i="32" s="1"/>
  <c r="BD5" i="32" a="1"/>
  <c r="BD5" i="32" s="1"/>
  <c r="BF5" i="32" a="1"/>
  <c r="BF5" i="32" s="1"/>
  <c r="BG5" i="32" a="1"/>
  <c r="BG5" i="32" s="1"/>
  <c r="BH5" i="32" a="1"/>
  <c r="BH5" i="32" s="1"/>
  <c r="BI5" i="32" a="1"/>
  <c r="BI5" i="32" s="1"/>
  <c r="BJ5" i="32" a="1"/>
  <c r="BJ5" i="32" s="1"/>
  <c r="BM5" i="32" a="1"/>
  <c r="BM5" i="32" s="1"/>
  <c r="BN5" i="32" a="1"/>
  <c r="BN5" i="32" s="1"/>
  <c r="BO5" i="32" a="1"/>
  <c r="BO5" i="32" s="1"/>
  <c r="BS5" i="32" a="1"/>
  <c r="BS5" i="32" s="1"/>
  <c r="BR5" i="32" s="1"/>
  <c r="BC6" i="32" a="1"/>
  <c r="BC6" i="32" s="1"/>
  <c r="BD6" i="32" a="1"/>
  <c r="BD6" i="32" s="1"/>
  <c r="BF6" i="32" a="1"/>
  <c r="BF6" i="32" s="1"/>
  <c r="BG6" i="32" a="1"/>
  <c r="BG6" i="32" s="1"/>
  <c r="BH6" i="32" a="1"/>
  <c r="BH6" i="32" s="1"/>
  <c r="BI6" i="32" a="1"/>
  <c r="BI6" i="32" s="1"/>
  <c r="BJ6" i="32" a="1"/>
  <c r="BJ6" i="32" s="1"/>
  <c r="BM6" i="32" a="1"/>
  <c r="BM6" i="32" s="1"/>
  <c r="BN6" i="32" a="1"/>
  <c r="BN6" i="32" s="1"/>
  <c r="BO6" i="32" a="1"/>
  <c r="BO6" i="32" s="1"/>
  <c r="BS6" i="32" a="1"/>
  <c r="BS6" i="32" s="1"/>
  <c r="BT6" i="32" s="1"/>
  <c r="BC7" i="32" a="1"/>
  <c r="BC7" i="32" s="1"/>
  <c r="BD7" i="32" a="1"/>
  <c r="BD7" i="32" s="1"/>
  <c r="BF7" i="32" a="1"/>
  <c r="BF7" i="32" s="1"/>
  <c r="BG7" i="32" a="1"/>
  <c r="BG7" i="32" s="1"/>
  <c r="BH7" i="32" a="1"/>
  <c r="BH7" i="32" s="1"/>
  <c r="BI7" i="32" a="1"/>
  <c r="BI7" i="32" s="1"/>
  <c r="BJ7" i="32" a="1"/>
  <c r="BJ7" i="32" s="1"/>
  <c r="BM7" i="32" a="1"/>
  <c r="BM7" i="32" s="1"/>
  <c r="BN7" i="32" a="1"/>
  <c r="BN7" i="32" s="1"/>
  <c r="BO7" i="32" a="1"/>
  <c r="BO7" i="32" s="1"/>
  <c r="BS7" i="32" a="1"/>
  <c r="BS7" i="32" s="1"/>
  <c r="T3" i="32"/>
  <c r="T4" i="32"/>
  <c r="T5" i="32"/>
  <c r="T6" i="32"/>
  <c r="T7" i="32"/>
  <c r="T2" i="32"/>
  <c r="R3" i="32"/>
  <c r="R4" i="32"/>
  <c r="R5" i="32"/>
  <c r="R6" i="32"/>
  <c r="R7" i="32"/>
  <c r="C7" i="32"/>
  <c r="D7" i="32"/>
  <c r="E7" i="32"/>
  <c r="H7" i="32"/>
  <c r="I7" i="32"/>
  <c r="J7" i="32"/>
  <c r="L7" i="32"/>
  <c r="M7" i="32"/>
  <c r="N7" i="32"/>
  <c r="P7" i="32"/>
  <c r="Q7" i="32"/>
  <c r="S7" i="32"/>
  <c r="U7" i="32"/>
  <c r="V7" i="32"/>
  <c r="W7" i="32"/>
  <c r="X7" i="32"/>
  <c r="AA7" i="32"/>
  <c r="AB7" i="32"/>
  <c r="AC7" i="32"/>
  <c r="AG7" i="32"/>
  <c r="AH7" i="32"/>
  <c r="AJ7" i="32" s="1"/>
  <c r="AL7" i="32"/>
  <c r="AN7" i="32"/>
  <c r="AO7" i="32"/>
  <c r="AP7" i="32"/>
  <c r="AQ7" i="32"/>
  <c r="AR7" i="32"/>
  <c r="AT7" i="32"/>
  <c r="AV7" i="32"/>
  <c r="AW7" i="32"/>
  <c r="AX7" i="32"/>
  <c r="AY7" i="32"/>
  <c r="AZ7" i="32"/>
  <c r="BA7" i="32"/>
  <c r="BB7" i="32"/>
  <c r="BX7" i="32"/>
  <c r="BY7" i="32"/>
  <c r="BZ7" i="32"/>
  <c r="EI7" i="32"/>
  <c r="EJ7" i="32" s="1"/>
  <c r="EK7" i="32"/>
  <c r="EL7" i="32" s="1"/>
  <c r="EM7" i="32"/>
  <c r="C6" i="32"/>
  <c r="D6" i="32"/>
  <c r="E6" i="32"/>
  <c r="H6" i="32"/>
  <c r="I6" i="32"/>
  <c r="J6" i="32"/>
  <c r="L6" i="32"/>
  <c r="M6" i="32"/>
  <c r="N6" i="32"/>
  <c r="P6" i="32"/>
  <c r="Q6" i="32"/>
  <c r="S6" i="32"/>
  <c r="U6" i="32"/>
  <c r="V6" i="32"/>
  <c r="W6" i="32"/>
  <c r="X6" i="32"/>
  <c r="AA6" i="32"/>
  <c r="AB6" i="32"/>
  <c r="AC6" i="32"/>
  <c r="AG6" i="32"/>
  <c r="AH6" i="32"/>
  <c r="AK6" i="32" s="1"/>
  <c r="AL6" i="32"/>
  <c r="AN6" i="32"/>
  <c r="AO6" i="32"/>
  <c r="AP6" i="32"/>
  <c r="AQ6" i="32"/>
  <c r="AR6" i="32"/>
  <c r="AT6" i="32"/>
  <c r="AV6" i="32"/>
  <c r="AW6" i="32"/>
  <c r="AX6" i="32"/>
  <c r="AY6" i="32"/>
  <c r="AZ6" i="32"/>
  <c r="BA6" i="32"/>
  <c r="BB6" i="32"/>
  <c r="BX6" i="32"/>
  <c r="BY6" i="32"/>
  <c r="BZ6" i="32"/>
  <c r="EI6" i="32"/>
  <c r="EJ6" i="32" s="1"/>
  <c r="EK6" i="32"/>
  <c r="EL6" i="32" s="1"/>
  <c r="EM6" i="32"/>
  <c r="C5" i="32"/>
  <c r="D5" i="32"/>
  <c r="E5" i="32"/>
  <c r="H5" i="32"/>
  <c r="I5" i="32"/>
  <c r="J5" i="32"/>
  <c r="L5" i="32"/>
  <c r="M5" i="32"/>
  <c r="N5" i="32"/>
  <c r="P5" i="32"/>
  <c r="Q5" i="32"/>
  <c r="S5" i="32"/>
  <c r="U5" i="32"/>
  <c r="V5" i="32"/>
  <c r="W5" i="32"/>
  <c r="X5" i="32"/>
  <c r="AA5" i="32"/>
  <c r="AB5" i="32"/>
  <c r="AC5" i="32"/>
  <c r="AG5" i="32"/>
  <c r="AH5" i="32"/>
  <c r="AK5" i="32" s="1"/>
  <c r="AL5" i="32"/>
  <c r="AN5" i="32"/>
  <c r="AO5" i="32"/>
  <c r="AP5" i="32"/>
  <c r="AQ5" i="32"/>
  <c r="AR5" i="32"/>
  <c r="AT5" i="32"/>
  <c r="AV5" i="32"/>
  <c r="AW5" i="32"/>
  <c r="AX5" i="32"/>
  <c r="AY5" i="32"/>
  <c r="AZ5" i="32"/>
  <c r="BA5" i="32"/>
  <c r="BB5" i="32"/>
  <c r="BX5" i="32"/>
  <c r="BY5" i="32"/>
  <c r="BZ5" i="32"/>
  <c r="EI5" i="32"/>
  <c r="EJ5" i="32" s="1"/>
  <c r="EK5" i="32"/>
  <c r="EL5" i="32" s="1"/>
  <c r="EM5" i="32"/>
  <c r="C4" i="32"/>
  <c r="D4" i="32"/>
  <c r="E4" i="32"/>
  <c r="H4" i="32"/>
  <c r="I4" i="32"/>
  <c r="J4" i="32"/>
  <c r="L4" i="32"/>
  <c r="M4" i="32"/>
  <c r="N4" i="32"/>
  <c r="P4" i="32"/>
  <c r="Q4" i="32"/>
  <c r="S4" i="32"/>
  <c r="U4" i="32"/>
  <c r="V4" i="32"/>
  <c r="W4" i="32"/>
  <c r="X4" i="32"/>
  <c r="AA4" i="32"/>
  <c r="AB4" i="32"/>
  <c r="AC4" i="32"/>
  <c r="AG4" i="32"/>
  <c r="AH4" i="32"/>
  <c r="AK4" i="32" s="1"/>
  <c r="AL4" i="32"/>
  <c r="AN4" i="32"/>
  <c r="AO4" i="32"/>
  <c r="AP4" i="32"/>
  <c r="AQ4" i="32"/>
  <c r="AR4" i="32"/>
  <c r="AT4" i="32"/>
  <c r="AV4" i="32"/>
  <c r="AW4" i="32"/>
  <c r="AX4" i="32"/>
  <c r="AY4" i="32"/>
  <c r="AZ4" i="32"/>
  <c r="BA4" i="32"/>
  <c r="BB4" i="32"/>
  <c r="BX4" i="32"/>
  <c r="BY4" i="32"/>
  <c r="BZ4" i="32"/>
  <c r="EI4" i="32"/>
  <c r="EJ4" i="32" s="1"/>
  <c r="EK4" i="32"/>
  <c r="EL4" i="32" s="1"/>
  <c r="EM4" i="32"/>
  <c r="C3" i="32"/>
  <c r="D3" i="32"/>
  <c r="E3" i="32"/>
  <c r="H3" i="32"/>
  <c r="I3" i="32"/>
  <c r="J3" i="32"/>
  <c r="L3" i="32"/>
  <c r="M3" i="32"/>
  <c r="N3" i="32"/>
  <c r="P3" i="32"/>
  <c r="Q3" i="32"/>
  <c r="S3" i="32"/>
  <c r="U3" i="32"/>
  <c r="V3" i="32"/>
  <c r="W3" i="32"/>
  <c r="X3" i="32"/>
  <c r="AA3" i="32"/>
  <c r="AB3" i="32"/>
  <c r="AC3" i="32"/>
  <c r="AG3" i="32"/>
  <c r="AH3" i="32"/>
  <c r="AK3" i="32" s="1"/>
  <c r="AL3" i="32"/>
  <c r="AN3" i="32"/>
  <c r="AO3" i="32"/>
  <c r="AP3" i="32"/>
  <c r="AQ3" i="32"/>
  <c r="AR3" i="32"/>
  <c r="AT3" i="32"/>
  <c r="AV3" i="32"/>
  <c r="AW3" i="32"/>
  <c r="AX3" i="32"/>
  <c r="AY3" i="32"/>
  <c r="AZ3" i="32"/>
  <c r="BA3" i="32"/>
  <c r="BB3" i="32"/>
  <c r="BX3" i="32"/>
  <c r="BY3" i="32"/>
  <c r="BZ3" i="32"/>
  <c r="EI3" i="32"/>
  <c r="EJ3" i="32" s="1"/>
  <c r="EK3" i="32"/>
  <c r="EL3" i="32" s="1"/>
  <c r="EM3" i="32"/>
  <c r="D91" i="1"/>
  <c r="F91" i="1" s="1"/>
  <c r="AJ6" i="32" l="1"/>
  <c r="AI6" i="32"/>
  <c r="AJ3" i="32"/>
  <c r="AJ4" i="32"/>
  <c r="AJ5" i="32"/>
  <c r="BR6" i="32"/>
  <c r="BU6" i="32"/>
  <c r="BT5" i="32"/>
  <c r="BT3" i="32"/>
  <c r="BR3" i="32"/>
  <c r="BU3" i="32"/>
  <c r="BT7" i="32"/>
  <c r="BR7" i="32"/>
  <c r="BU7" i="32"/>
  <c r="BU4" i="32"/>
  <c r="BR4" i="32"/>
  <c r="BU5" i="32"/>
  <c r="AI7" i="32"/>
  <c r="AK7" i="32"/>
  <c r="AI5" i="32"/>
  <c r="AI4" i="32"/>
  <c r="AI3" i="32"/>
  <c r="BX2" i="32"/>
  <c r="BW2" i="32"/>
  <c r="D21" i="1"/>
  <c r="J2" i="32" l="1"/>
  <c r="D50" i="12" l="1"/>
  <c r="D38" i="12"/>
  <c r="F21" i="1"/>
  <c r="F51" i="1"/>
  <c r="F52" i="1"/>
  <c r="G93" i="1"/>
  <c r="C93" i="1" s="1"/>
  <c r="G96" i="1"/>
  <c r="C96" i="1" s="1"/>
  <c r="G99" i="1"/>
  <c r="C99" i="1" s="1"/>
  <c r="O5" i="32" l="1"/>
  <c r="O7" i="32"/>
  <c r="O4" i="32"/>
  <c r="O3" i="32"/>
  <c r="O6" i="32"/>
  <c r="AE5" i="32"/>
  <c r="AE7" i="32"/>
  <c r="AE3" i="32"/>
  <c r="AE6" i="32"/>
  <c r="AE4" i="32"/>
  <c r="EM2" i="32" l="1"/>
  <c r="BI2" i="32" l="1" a="1"/>
  <c r="BI2" i="32" s="1"/>
  <c r="K36" i="12" l="1" a="1"/>
  <c r="K36" i="12" s="1"/>
  <c r="H36" i="12" a="1"/>
  <c r="H36" i="12" s="1"/>
  <c r="L36" i="12" s="1"/>
  <c r="G36" i="12" a="1"/>
  <c r="G36" i="12" s="1"/>
  <c r="F36" i="12" a="1"/>
  <c r="F36" i="12" s="1"/>
  <c r="D36" i="12"/>
  <c r="K35" i="12" a="1"/>
  <c r="K35" i="12" s="1"/>
  <c r="H35" i="12" a="1"/>
  <c r="H35" i="12" s="1"/>
  <c r="L35" i="12" s="1"/>
  <c r="G35" i="12" a="1"/>
  <c r="G35" i="12" s="1"/>
  <c r="F35" i="12" a="1"/>
  <c r="F35" i="12" s="1"/>
  <c r="D35" i="12"/>
  <c r="K34" i="12" a="1"/>
  <c r="K34" i="12" s="1"/>
  <c r="H34" i="12" a="1"/>
  <c r="H34" i="12" s="1"/>
  <c r="L34" i="12" s="1"/>
  <c r="G34" i="12" a="1"/>
  <c r="G34" i="12" s="1"/>
  <c r="F34" i="12" a="1"/>
  <c r="F34" i="12" s="1"/>
  <c r="D34" i="12"/>
  <c r="K33" i="12" a="1"/>
  <c r="K33" i="12" s="1"/>
  <c r="H33" i="12" a="1"/>
  <c r="H33" i="12" s="1"/>
  <c r="L33" i="12" s="1"/>
  <c r="G33" i="12" a="1"/>
  <c r="G33" i="12" s="1"/>
  <c r="F33" i="12" a="1"/>
  <c r="F33" i="12" s="1"/>
  <c r="D33" i="12"/>
  <c r="K32" i="12" a="1"/>
  <c r="K32" i="12" s="1"/>
  <c r="H32" i="12" a="1"/>
  <c r="H32" i="12" s="1"/>
  <c r="L32" i="12" s="1"/>
  <c r="G32" i="12" a="1"/>
  <c r="G32" i="12" s="1"/>
  <c r="F32" i="12" a="1"/>
  <c r="F32" i="12" s="1"/>
  <c r="D32" i="12"/>
  <c r="K31" i="12" a="1"/>
  <c r="K31" i="12" s="1"/>
  <c r="H31" i="12" a="1"/>
  <c r="H31" i="12" s="1"/>
  <c r="L31" i="12" s="1"/>
  <c r="G31" i="12" a="1"/>
  <c r="G31" i="12" s="1"/>
  <c r="F31" i="12" a="1"/>
  <c r="F31" i="12" s="1"/>
  <c r="D31" i="12"/>
  <c r="K30" i="12" a="1"/>
  <c r="K30" i="12" s="1"/>
  <c r="H30" i="12" a="1"/>
  <c r="H30" i="12" s="1"/>
  <c r="L30" i="12" s="1"/>
  <c r="G30" i="12" a="1"/>
  <c r="G30" i="12" s="1"/>
  <c r="F30" i="12" a="1"/>
  <c r="F30" i="12" s="1"/>
  <c r="D30" i="12"/>
  <c r="BZ2" i="32" l="1"/>
  <c r="A6" i="54" l="1"/>
  <c r="G70" i="1" l="1"/>
  <c r="G71" i="1"/>
  <c r="D60" i="12" l="1"/>
  <c r="D59" i="12"/>
  <c r="D58" i="12"/>
  <c r="D57" i="12"/>
  <c r="D56" i="12"/>
  <c r="D55" i="12"/>
  <c r="D54" i="12"/>
  <c r="D53" i="12"/>
  <c r="D52" i="12"/>
  <c r="D51" i="12"/>
  <c r="F51" i="12" a="1"/>
  <c r="F51" i="12" s="1"/>
  <c r="G51" i="12" a="1"/>
  <c r="G51" i="12" s="1"/>
  <c r="H51" i="12" a="1"/>
  <c r="H51" i="12" s="1"/>
  <c r="K51" i="12" a="1"/>
  <c r="K51" i="12" s="1"/>
  <c r="F52" i="12" a="1"/>
  <c r="F52" i="12" s="1"/>
  <c r="G52" i="12" a="1"/>
  <c r="G52" i="12" s="1"/>
  <c r="H52" i="12" a="1"/>
  <c r="H52" i="12" s="1"/>
  <c r="L52" i="12" s="1"/>
  <c r="K52" i="12" a="1"/>
  <c r="K52" i="12" s="1"/>
  <c r="F53" i="12" a="1"/>
  <c r="F53" i="12" s="1"/>
  <c r="G53" i="12" a="1"/>
  <c r="G53" i="12" s="1"/>
  <c r="H53" i="12" a="1"/>
  <c r="H53" i="12" s="1"/>
  <c r="L53" i="12" s="1"/>
  <c r="K53" i="12" a="1"/>
  <c r="K53" i="12" s="1"/>
  <c r="F54" i="12" a="1"/>
  <c r="F54" i="12" s="1"/>
  <c r="G54" i="12" a="1"/>
  <c r="G54" i="12" s="1"/>
  <c r="H54" i="12" a="1"/>
  <c r="H54" i="12" s="1"/>
  <c r="L54" i="12" s="1"/>
  <c r="K54" i="12" a="1"/>
  <c r="K54" i="12" s="1"/>
  <c r="F55" i="12" a="1"/>
  <c r="F55" i="12" s="1"/>
  <c r="G55" i="12" a="1"/>
  <c r="G55" i="12" s="1"/>
  <c r="H55" i="12" a="1"/>
  <c r="H55" i="12" s="1"/>
  <c r="L55" i="12" s="1"/>
  <c r="K55" i="12" a="1"/>
  <c r="K55" i="12" s="1"/>
  <c r="F56" i="12" a="1"/>
  <c r="F56" i="12" s="1"/>
  <c r="G56" i="12" a="1"/>
  <c r="G56" i="12" s="1"/>
  <c r="H56" i="12" a="1"/>
  <c r="H56" i="12" s="1"/>
  <c r="L56" i="12" s="1"/>
  <c r="K56" i="12" a="1"/>
  <c r="K56" i="12" s="1"/>
  <c r="F57" i="12" a="1"/>
  <c r="F57" i="12" s="1"/>
  <c r="G57" i="12" a="1"/>
  <c r="G57" i="12" s="1"/>
  <c r="H57" i="12" a="1"/>
  <c r="H57" i="12" s="1"/>
  <c r="L57" i="12" s="1"/>
  <c r="K57" i="12" a="1"/>
  <c r="K57" i="12" s="1"/>
  <c r="F58" i="12" a="1"/>
  <c r="F58" i="12" s="1"/>
  <c r="G58" i="12" a="1"/>
  <c r="G58" i="12" s="1"/>
  <c r="H58" i="12" a="1"/>
  <c r="H58" i="12" s="1"/>
  <c r="L58" i="12" s="1"/>
  <c r="K58" i="12" a="1"/>
  <c r="K58" i="12" s="1"/>
  <c r="F59" i="12" a="1"/>
  <c r="F59" i="12" s="1"/>
  <c r="G59" i="12" a="1"/>
  <c r="G59" i="12" s="1"/>
  <c r="H59" i="12" a="1"/>
  <c r="H59" i="12" s="1"/>
  <c r="L59" i="12" s="1"/>
  <c r="K59" i="12" a="1"/>
  <c r="K59" i="12" s="1"/>
  <c r="F60" i="12" a="1"/>
  <c r="F60" i="12" s="1"/>
  <c r="G60" i="12" a="1"/>
  <c r="G60" i="12" s="1"/>
  <c r="H60" i="12" a="1"/>
  <c r="H60" i="12" s="1"/>
  <c r="L60" i="12" s="1"/>
  <c r="K60" i="12" a="1"/>
  <c r="K60" i="12" s="1"/>
  <c r="D22" i="12" l="1"/>
  <c r="D23" i="12"/>
  <c r="D24" i="12"/>
  <c r="D25" i="12"/>
  <c r="D26" i="12"/>
  <c r="D27" i="12"/>
  <c r="D28" i="12"/>
  <c r="D29" i="12"/>
  <c r="D39" i="12"/>
  <c r="D40" i="12"/>
  <c r="D41" i="12"/>
  <c r="D42" i="12"/>
  <c r="D43" i="12"/>
  <c r="D44" i="12"/>
  <c r="D45" i="12"/>
  <c r="D46" i="12"/>
  <c r="D47" i="12"/>
  <c r="D48" i="12"/>
  <c r="D62" i="12"/>
  <c r="D63" i="12"/>
  <c r="D64" i="12"/>
  <c r="D65" i="12"/>
  <c r="D66" i="12"/>
  <c r="D67" i="12"/>
  <c r="D68" i="12"/>
  <c r="D69" i="12"/>
  <c r="D70" i="12"/>
  <c r="D71" i="12"/>
  <c r="D72" i="12"/>
  <c r="D74" i="12"/>
  <c r="D75" i="12"/>
  <c r="D76" i="12"/>
  <c r="D77" i="12"/>
  <c r="D78" i="12"/>
  <c r="D79" i="12"/>
  <c r="D80" i="12"/>
  <c r="D81" i="12"/>
  <c r="D82" i="12"/>
  <c r="D83" i="12"/>
  <c r="D84" i="12"/>
  <c r="D86" i="12"/>
  <c r="D87" i="12"/>
  <c r="D88" i="12"/>
  <c r="D89" i="12"/>
  <c r="D90" i="12"/>
  <c r="D91" i="12"/>
  <c r="D92" i="12"/>
  <c r="D93" i="12"/>
  <c r="D94" i="12"/>
  <c r="D95" i="12"/>
  <c r="D96" i="12"/>
  <c r="D98" i="12"/>
  <c r="D99" i="12"/>
  <c r="D100" i="12"/>
  <c r="D101" i="12"/>
  <c r="D102" i="12"/>
  <c r="D103" i="12"/>
  <c r="D104" i="12"/>
  <c r="D105" i="12"/>
  <c r="D106" i="12"/>
  <c r="D107" i="12"/>
  <c r="D108" i="12"/>
  <c r="D110" i="12"/>
  <c r="D111" i="12"/>
  <c r="D112" i="12"/>
  <c r="D113" i="12"/>
  <c r="D114" i="12"/>
  <c r="D115" i="12"/>
  <c r="D116" i="12"/>
  <c r="D117" i="12"/>
  <c r="D118" i="12"/>
  <c r="D119" i="12"/>
  <c r="D120" i="12"/>
  <c r="D122" i="12"/>
  <c r="D123" i="12"/>
  <c r="D124" i="12"/>
  <c r="D125" i="12"/>
  <c r="D126" i="12"/>
  <c r="D127" i="12"/>
  <c r="D128" i="12"/>
  <c r="D129" i="12"/>
  <c r="D130" i="12"/>
  <c r="D131" i="12"/>
  <c r="D132" i="12"/>
  <c r="D134" i="12"/>
  <c r="D135" i="12"/>
  <c r="D136" i="12"/>
  <c r="D137" i="12"/>
  <c r="D138" i="12"/>
  <c r="D139" i="12"/>
  <c r="D140" i="12"/>
  <c r="D141" i="12"/>
  <c r="D142" i="12"/>
  <c r="D143" i="12"/>
  <c r="D144" i="12"/>
  <c r="D146" i="12"/>
  <c r="D147" i="12"/>
  <c r="D148" i="12"/>
  <c r="D149" i="12"/>
  <c r="D150" i="12"/>
  <c r="D151" i="12"/>
  <c r="D152" i="12"/>
  <c r="D153" i="12"/>
  <c r="D154" i="12"/>
  <c r="D155" i="12"/>
  <c r="D156" i="12"/>
  <c r="D158" i="12"/>
  <c r="D159" i="12"/>
  <c r="D160" i="12"/>
  <c r="D161" i="12"/>
  <c r="D162" i="12"/>
  <c r="D163" i="12"/>
  <c r="D164" i="12"/>
  <c r="D165" i="12"/>
  <c r="D166" i="12"/>
  <c r="D167" i="12"/>
  <c r="D168" i="12"/>
  <c r="D170" i="12"/>
  <c r="D171" i="12"/>
  <c r="D172" i="12"/>
  <c r="D173" i="12"/>
  <c r="D174" i="12"/>
  <c r="D175" i="12"/>
  <c r="D176" i="12"/>
  <c r="D177" i="12"/>
  <c r="D178" i="12"/>
  <c r="D179" i="12"/>
  <c r="D180" i="12"/>
  <c r="F39" i="12" a="1"/>
  <c r="F39" i="12" s="1"/>
  <c r="G39" i="12" a="1"/>
  <c r="G39" i="12" s="1"/>
  <c r="H39" i="12" a="1"/>
  <c r="H39" i="12" s="1"/>
  <c r="L39" i="12" s="1"/>
  <c r="K39" i="12" a="1"/>
  <c r="K39" i="12" s="1"/>
  <c r="F40" i="12" a="1"/>
  <c r="F40" i="12" s="1"/>
  <c r="G40" i="12" a="1"/>
  <c r="G40" i="12" s="1"/>
  <c r="H40" i="12" a="1"/>
  <c r="H40" i="12" s="1"/>
  <c r="L40" i="12" s="1"/>
  <c r="K40" i="12" a="1"/>
  <c r="K40" i="12" s="1"/>
  <c r="F41" i="12" a="1"/>
  <c r="F41" i="12" s="1"/>
  <c r="G41" i="12" a="1"/>
  <c r="G41" i="12" s="1"/>
  <c r="H41" i="12" a="1"/>
  <c r="H41" i="12" s="1"/>
  <c r="L41" i="12" s="1"/>
  <c r="K41" i="12" a="1"/>
  <c r="K41" i="12" s="1"/>
  <c r="F42" i="12" a="1"/>
  <c r="F42" i="12" s="1"/>
  <c r="G42" i="12" a="1"/>
  <c r="G42" i="12" s="1"/>
  <c r="H42" i="12" a="1"/>
  <c r="H42" i="12" s="1"/>
  <c r="L42" i="12" s="1"/>
  <c r="K42" i="12" a="1"/>
  <c r="K42" i="12" s="1"/>
  <c r="F43" i="12" a="1"/>
  <c r="F43" i="12" s="1"/>
  <c r="G43" i="12" a="1"/>
  <c r="G43" i="12" s="1"/>
  <c r="H43" i="12" a="1"/>
  <c r="H43" i="12" s="1"/>
  <c r="L43" i="12" s="1"/>
  <c r="K43" i="12" a="1"/>
  <c r="K43" i="12" s="1"/>
  <c r="F44" i="12" a="1"/>
  <c r="F44" i="12" s="1"/>
  <c r="G44" i="12" a="1"/>
  <c r="G44" i="12" s="1"/>
  <c r="H44" i="12" a="1"/>
  <c r="H44" i="12" s="1"/>
  <c r="L44" i="12" s="1"/>
  <c r="K44" i="12" a="1"/>
  <c r="K44" i="12" s="1"/>
  <c r="F45" i="12" a="1"/>
  <c r="F45" i="12" s="1"/>
  <c r="G45" i="12" a="1"/>
  <c r="G45" i="12" s="1"/>
  <c r="H45" i="12" a="1"/>
  <c r="H45" i="12" s="1"/>
  <c r="L45" i="12" s="1"/>
  <c r="K45" i="12" a="1"/>
  <c r="K45" i="12" s="1"/>
  <c r="F46" i="12" a="1"/>
  <c r="F46" i="12" s="1"/>
  <c r="G46" i="12" a="1"/>
  <c r="G46" i="12" s="1"/>
  <c r="H46" i="12" a="1"/>
  <c r="H46" i="12" s="1"/>
  <c r="L46" i="12" s="1"/>
  <c r="K46" i="12" a="1"/>
  <c r="K46" i="12" s="1"/>
  <c r="F47" i="12" a="1"/>
  <c r="F47" i="12" s="1"/>
  <c r="G47" i="12" a="1"/>
  <c r="G47" i="12" s="1"/>
  <c r="H47" i="12" a="1"/>
  <c r="H47" i="12" s="1"/>
  <c r="L47" i="12" s="1"/>
  <c r="K47" i="12" a="1"/>
  <c r="K47" i="12" s="1"/>
  <c r="F48" i="12" a="1"/>
  <c r="F48" i="12" s="1"/>
  <c r="G48" i="12" a="1"/>
  <c r="G48" i="12" s="1"/>
  <c r="H48" i="12" a="1"/>
  <c r="H48" i="12" s="1"/>
  <c r="L48" i="12" s="1"/>
  <c r="K48" i="12" a="1"/>
  <c r="K48" i="12" s="1"/>
  <c r="F22" i="12" a="1"/>
  <c r="F22" i="12" s="1"/>
  <c r="G22" i="12" a="1"/>
  <c r="G22" i="12" s="1"/>
  <c r="H22" i="12" a="1"/>
  <c r="H22" i="12" s="1"/>
  <c r="K22" i="12" a="1"/>
  <c r="K22" i="12" s="1"/>
  <c r="AY2" i="32" l="1"/>
  <c r="EK2" i="32"/>
  <c r="EL2" i="32" s="1"/>
  <c r="S2" i="32"/>
  <c r="F104" i="1" l="1"/>
  <c r="D117" i="1" l="1"/>
  <c r="F117" i="1" s="1"/>
  <c r="D120" i="1"/>
  <c r="F120" i="1" s="1"/>
  <c r="D118" i="1"/>
  <c r="F118" i="1" s="1"/>
  <c r="D119" i="1"/>
  <c r="F119" i="1" s="1"/>
  <c r="D116" i="1"/>
  <c r="F116" i="1" s="1"/>
  <c r="Q11" i="69" a="1"/>
  <c r="Q11" i="69" s="1"/>
  <c r="R11" i="69" s="1" a="1"/>
  <c r="R11" i="69" s="1"/>
  <c r="S11" i="69" s="1"/>
  <c r="Q7" i="69" a="1"/>
  <c r="Q7" i="69" s="1"/>
  <c r="V89" i="69"/>
  <c r="V85" i="69"/>
  <c r="V81" i="69"/>
  <c r="V77" i="69"/>
  <c r="V71" i="69"/>
  <c r="V67" i="69"/>
  <c r="V63" i="69"/>
  <c r="V59" i="69"/>
  <c r="V53" i="69"/>
  <c r="V49" i="69"/>
  <c r="V45" i="69"/>
  <c r="V41" i="69"/>
  <c r="V35" i="69"/>
  <c r="V31" i="69"/>
  <c r="V27" i="69"/>
  <c r="V23" i="69"/>
  <c r="V17" i="69"/>
  <c r="V13" i="69"/>
  <c r="V9" i="69"/>
  <c r="V5" i="69"/>
  <c r="N312" i="36"/>
  <c r="M312" i="36" s="1"/>
  <c r="N308" i="36"/>
  <c r="M308" i="36" s="1"/>
  <c r="N304" i="36"/>
  <c r="M304" i="36" s="1"/>
  <c r="N300" i="36"/>
  <c r="M300" i="36" s="1"/>
  <c r="N296" i="36"/>
  <c r="M296" i="36" s="1"/>
  <c r="N292" i="36"/>
  <c r="M292" i="36" s="1"/>
  <c r="N288" i="36"/>
  <c r="M288" i="36" s="1"/>
  <c r="N284" i="36"/>
  <c r="M284" i="36" s="1"/>
  <c r="N280" i="36"/>
  <c r="M280" i="36" s="1"/>
  <c r="N276" i="36"/>
  <c r="M276" i="36" s="1"/>
  <c r="N272" i="36"/>
  <c r="M272" i="36" s="1"/>
  <c r="N268" i="36"/>
  <c r="M268" i="36" s="1"/>
  <c r="N264" i="36"/>
  <c r="M264" i="36" s="1"/>
  <c r="N260" i="36"/>
  <c r="M260" i="36" s="1"/>
  <c r="Q10" i="69" a="1"/>
  <c r="Q10" i="69" s="1"/>
  <c r="R10" i="69" s="1" a="1"/>
  <c r="R10" i="69" s="1"/>
  <c r="S10" i="69" s="1"/>
  <c r="V90" i="69"/>
  <c r="V86" i="69"/>
  <c r="V82" i="69"/>
  <c r="V78" i="69"/>
  <c r="V60" i="69"/>
  <c r="V50" i="69"/>
  <c r="P3" i="69"/>
  <c r="V72" i="69"/>
  <c r="V68" i="69"/>
  <c r="V64" i="69"/>
  <c r="V54" i="69"/>
  <c r="V87" i="69"/>
  <c r="V79" i="69"/>
  <c r="V69" i="69"/>
  <c r="V61" i="69"/>
  <c r="V51" i="69"/>
  <c r="V42" i="69"/>
  <c r="V37" i="69"/>
  <c r="V34" i="69"/>
  <c r="V24" i="69"/>
  <c r="V19" i="69"/>
  <c r="V16" i="69"/>
  <c r="V6" i="69"/>
  <c r="N309" i="36"/>
  <c r="M309" i="36" s="1"/>
  <c r="N303" i="36"/>
  <c r="M303" i="36" s="1"/>
  <c r="N298" i="36"/>
  <c r="M298" i="36" s="1"/>
  <c r="N293" i="36"/>
  <c r="M293" i="36" s="1"/>
  <c r="N287" i="36"/>
  <c r="M287" i="36" s="1"/>
  <c r="N282" i="36"/>
  <c r="M282" i="36" s="1"/>
  <c r="N277" i="36"/>
  <c r="M277" i="36" s="1"/>
  <c r="N271" i="36"/>
  <c r="M271" i="36" s="1"/>
  <c r="N266" i="36"/>
  <c r="M266" i="36" s="1"/>
  <c r="N261" i="36"/>
  <c r="M261" i="36" s="1"/>
  <c r="N307" i="36"/>
  <c r="M307" i="36" s="1"/>
  <c r="N297" i="36"/>
  <c r="M297" i="36" s="1"/>
  <c r="N286" i="36"/>
  <c r="M286" i="36" s="1"/>
  <c r="N275" i="36"/>
  <c r="M275" i="36" s="1"/>
  <c r="N265" i="36"/>
  <c r="M265" i="36" s="1"/>
  <c r="Q9" i="69" a="1"/>
  <c r="Q9" i="69" s="1"/>
  <c r="R9" i="69" s="1" a="1"/>
  <c r="R9" i="69" s="1"/>
  <c r="S9" i="69" s="1"/>
  <c r="V88" i="69"/>
  <c r="V80" i="69"/>
  <c r="V70" i="69"/>
  <c r="V62" i="69"/>
  <c r="V52" i="69"/>
  <c r="V46" i="69"/>
  <c r="V43" i="69"/>
  <c r="V38" i="69"/>
  <c r="V28" i="69"/>
  <c r="V25" i="69"/>
  <c r="V20" i="69"/>
  <c r="V10" i="69"/>
  <c r="V7" i="69"/>
  <c r="N302" i="36"/>
  <c r="M302" i="36" s="1"/>
  <c r="N291" i="36"/>
  <c r="M291" i="36" s="1"/>
  <c r="N281" i="36"/>
  <c r="M281" i="36" s="1"/>
  <c r="N270" i="36"/>
  <c r="M270" i="36" s="1"/>
  <c r="V84" i="69"/>
  <c r="V66" i="69"/>
  <c r="V48" i="69"/>
  <c r="V26" i="69"/>
  <c r="V15" i="69"/>
  <c r="V12" i="69"/>
  <c r="N305" i="36"/>
  <c r="M305" i="36" s="1"/>
  <c r="N262" i="36"/>
  <c r="M262" i="36" s="1"/>
  <c r="N301" i="36"/>
  <c r="M301" i="36" s="1"/>
  <c r="N269" i="36"/>
  <c r="M269" i="36" s="1"/>
  <c r="Q8" i="69" a="1"/>
  <c r="Q8" i="69" s="1"/>
  <c r="R8" i="69" s="1" a="1"/>
  <c r="R8" i="69" s="1"/>
  <c r="S8" i="69" s="1"/>
  <c r="V91" i="69"/>
  <c r="V73" i="69"/>
  <c r="V55" i="69"/>
  <c r="V32" i="69"/>
  <c r="V29" i="69"/>
  <c r="V18" i="69"/>
  <c r="N290" i="36"/>
  <c r="M290" i="36" s="1"/>
  <c r="V92" i="69"/>
  <c r="V74" i="69"/>
  <c r="V56" i="69"/>
  <c r="V44" i="69"/>
  <c r="V33" i="69"/>
  <c r="V30" i="69"/>
  <c r="V8" i="69"/>
  <c r="N310" i="36"/>
  <c r="M310" i="36" s="1"/>
  <c r="N299" i="36"/>
  <c r="M299" i="36" s="1"/>
  <c r="N289" i="36"/>
  <c r="M289" i="36" s="1"/>
  <c r="N278" i="36"/>
  <c r="M278" i="36" s="1"/>
  <c r="N267" i="36"/>
  <c r="M267" i="36" s="1"/>
  <c r="N258" i="36"/>
  <c r="M258" i="36" s="1"/>
  <c r="N283" i="36"/>
  <c r="M283" i="36" s="1"/>
  <c r="N279" i="36"/>
  <c r="M279" i="36" s="1"/>
  <c r="V83" i="69"/>
  <c r="V65" i="69"/>
  <c r="V47" i="69"/>
  <c r="V36" i="69"/>
  <c r="V14" i="69"/>
  <c r="V11" i="69"/>
  <c r="N306" i="36"/>
  <c r="M306" i="36" s="1"/>
  <c r="N295" i="36"/>
  <c r="M295" i="36" s="1"/>
  <c r="N285" i="36"/>
  <c r="M285" i="36" s="1"/>
  <c r="N274" i="36"/>
  <c r="M274" i="36" s="1"/>
  <c r="N263" i="36"/>
  <c r="M263" i="36" s="1"/>
  <c r="N257" i="36"/>
  <c r="B257" i="36" s="1" a="1"/>
  <c r="B257" i="36" s="1"/>
  <c r="N294" i="36"/>
  <c r="M294" i="36" s="1"/>
  <c r="N273" i="36"/>
  <c r="M273" i="36" s="1"/>
  <c r="N311" i="36"/>
  <c r="M311" i="36" s="1"/>
  <c r="N259" i="36"/>
  <c r="M259" i="36" s="1"/>
  <c r="AS7" i="32"/>
  <c r="AS3" i="32"/>
  <c r="AS5" i="32"/>
  <c r="AS4" i="32"/>
  <c r="AS6" i="32"/>
  <c r="K24" i="12" a="1"/>
  <c r="K24" i="12" s="1"/>
  <c r="K25" i="12" a="1"/>
  <c r="K25" i="12" s="1"/>
  <c r="K26" i="12" a="1"/>
  <c r="K26" i="12" s="1"/>
  <c r="K27" i="12" a="1"/>
  <c r="K27" i="12" s="1"/>
  <c r="K28" i="12" a="1"/>
  <c r="K28" i="12" s="1"/>
  <c r="K29" i="12" a="1"/>
  <c r="K29" i="12" s="1"/>
  <c r="K37" i="12" a="1"/>
  <c r="K37" i="12" s="1"/>
  <c r="K49" i="12" a="1"/>
  <c r="K49" i="12" s="1"/>
  <c r="K61" i="12" a="1"/>
  <c r="K61" i="12" s="1"/>
  <c r="K63" i="12" a="1"/>
  <c r="K63" i="12" s="1"/>
  <c r="K64" i="12" a="1"/>
  <c r="K64" i="12" s="1"/>
  <c r="K65" i="12" a="1"/>
  <c r="K65" i="12" s="1"/>
  <c r="K66" i="12" a="1"/>
  <c r="K66" i="12" s="1"/>
  <c r="K67" i="12" a="1"/>
  <c r="K67" i="12" s="1"/>
  <c r="K68" i="12" a="1"/>
  <c r="K68" i="12" s="1"/>
  <c r="K69" i="12" a="1"/>
  <c r="K69" i="12" s="1"/>
  <c r="K70" i="12" a="1"/>
  <c r="K70" i="12" s="1"/>
  <c r="K71" i="12" a="1"/>
  <c r="K71" i="12" s="1"/>
  <c r="K72" i="12" a="1"/>
  <c r="K72" i="12" s="1"/>
  <c r="K73" i="12" a="1"/>
  <c r="K73" i="12" s="1"/>
  <c r="K75" i="12" a="1"/>
  <c r="K75" i="12" s="1"/>
  <c r="K76" i="12" a="1"/>
  <c r="K76" i="12" s="1"/>
  <c r="K77" i="12" a="1"/>
  <c r="K77" i="12" s="1"/>
  <c r="K78" i="12" a="1"/>
  <c r="K78" i="12" s="1"/>
  <c r="K79" i="12" a="1"/>
  <c r="K79" i="12" s="1"/>
  <c r="K80" i="12" a="1"/>
  <c r="K80" i="12" s="1"/>
  <c r="K81" i="12" a="1"/>
  <c r="K81" i="12" s="1"/>
  <c r="K82" i="12" a="1"/>
  <c r="K82" i="12" s="1"/>
  <c r="K83" i="12" a="1"/>
  <c r="K83" i="12" s="1"/>
  <c r="K84" i="12" a="1"/>
  <c r="K84" i="12" s="1"/>
  <c r="K85" i="12" a="1"/>
  <c r="K85" i="12" s="1"/>
  <c r="K87" i="12" a="1"/>
  <c r="K87" i="12" s="1"/>
  <c r="K88" i="12" a="1"/>
  <c r="K88" i="12" s="1"/>
  <c r="K89" i="12" a="1"/>
  <c r="K89" i="12" s="1"/>
  <c r="K90" i="12" a="1"/>
  <c r="K90" i="12" s="1"/>
  <c r="K91" i="12" a="1"/>
  <c r="K91" i="12" s="1"/>
  <c r="K92" i="12" a="1"/>
  <c r="K92" i="12" s="1"/>
  <c r="K93" i="12" a="1"/>
  <c r="K93" i="12" s="1"/>
  <c r="K94" i="12" a="1"/>
  <c r="K94" i="12" s="1"/>
  <c r="K95" i="12" a="1"/>
  <c r="K95" i="12" s="1"/>
  <c r="K96" i="12" a="1"/>
  <c r="K96" i="12" s="1"/>
  <c r="K97" i="12" a="1"/>
  <c r="K97" i="12" s="1"/>
  <c r="K99" i="12" a="1"/>
  <c r="K99" i="12" s="1"/>
  <c r="K100" i="12" a="1"/>
  <c r="K100" i="12" s="1"/>
  <c r="K101" i="12" a="1"/>
  <c r="K101" i="12" s="1"/>
  <c r="K102" i="12" a="1"/>
  <c r="K102" i="12" s="1"/>
  <c r="K103" i="12" a="1"/>
  <c r="K103" i="12" s="1"/>
  <c r="K104" i="12" a="1"/>
  <c r="K104" i="12" s="1"/>
  <c r="K105" i="12" a="1"/>
  <c r="K105" i="12" s="1"/>
  <c r="K106" i="12" a="1"/>
  <c r="K106" i="12" s="1"/>
  <c r="K107" i="12" a="1"/>
  <c r="K107" i="12" s="1"/>
  <c r="K108" i="12" a="1"/>
  <c r="K108" i="12" s="1"/>
  <c r="K109" i="12" a="1"/>
  <c r="K109" i="12" s="1"/>
  <c r="K111" i="12" a="1"/>
  <c r="K111" i="12" s="1"/>
  <c r="K112" i="12" a="1"/>
  <c r="K112" i="12" s="1"/>
  <c r="K113" i="12" a="1"/>
  <c r="K113" i="12" s="1"/>
  <c r="K114" i="12" a="1"/>
  <c r="K114" i="12" s="1"/>
  <c r="K115" i="12" a="1"/>
  <c r="K115" i="12" s="1"/>
  <c r="K116" i="12" a="1"/>
  <c r="K116" i="12" s="1"/>
  <c r="K117" i="12" a="1"/>
  <c r="K117" i="12" s="1"/>
  <c r="K118" i="12" a="1"/>
  <c r="K118" i="12" s="1"/>
  <c r="K119" i="12" a="1"/>
  <c r="K119" i="12" s="1"/>
  <c r="K120" i="12" a="1"/>
  <c r="K120" i="12" s="1"/>
  <c r="K121" i="12" a="1"/>
  <c r="K121" i="12" s="1"/>
  <c r="K123" i="12" a="1"/>
  <c r="K123" i="12" s="1"/>
  <c r="K124" i="12" a="1"/>
  <c r="K124" i="12" s="1"/>
  <c r="K125" i="12" a="1"/>
  <c r="K125" i="12" s="1"/>
  <c r="K126" i="12" a="1"/>
  <c r="K126" i="12" s="1"/>
  <c r="K127" i="12" a="1"/>
  <c r="K127" i="12" s="1"/>
  <c r="K128" i="12" a="1"/>
  <c r="K128" i="12" s="1"/>
  <c r="K129" i="12" a="1"/>
  <c r="K129" i="12" s="1"/>
  <c r="K130" i="12" a="1"/>
  <c r="K130" i="12" s="1"/>
  <c r="K131" i="12" a="1"/>
  <c r="K131" i="12" s="1"/>
  <c r="K132" i="12" a="1"/>
  <c r="K132" i="12" s="1"/>
  <c r="K133" i="12" a="1"/>
  <c r="K133" i="12" s="1"/>
  <c r="K135" i="12" a="1"/>
  <c r="K135" i="12" s="1"/>
  <c r="K136" i="12" a="1"/>
  <c r="K136" i="12" s="1"/>
  <c r="K137" i="12" a="1"/>
  <c r="K137" i="12" s="1"/>
  <c r="K138" i="12" a="1"/>
  <c r="K138" i="12" s="1"/>
  <c r="K139" i="12" a="1"/>
  <c r="K139" i="12" s="1"/>
  <c r="K140" i="12" a="1"/>
  <c r="K140" i="12" s="1"/>
  <c r="K141" i="12" a="1"/>
  <c r="K141" i="12" s="1"/>
  <c r="K142" i="12" a="1"/>
  <c r="K142" i="12" s="1"/>
  <c r="K143" i="12" a="1"/>
  <c r="K143" i="12" s="1"/>
  <c r="K144" i="12" a="1"/>
  <c r="K144" i="12" s="1"/>
  <c r="K145" i="12" a="1"/>
  <c r="K145" i="12" s="1"/>
  <c r="K147" i="12" a="1"/>
  <c r="K147" i="12" s="1"/>
  <c r="K148" i="12" a="1"/>
  <c r="K148" i="12" s="1"/>
  <c r="K149" i="12" a="1"/>
  <c r="K149" i="12" s="1"/>
  <c r="K150" i="12" a="1"/>
  <c r="K150" i="12" s="1"/>
  <c r="K151" i="12" a="1"/>
  <c r="K151" i="12" s="1"/>
  <c r="K152" i="12" a="1"/>
  <c r="K152" i="12" s="1"/>
  <c r="K153" i="12" a="1"/>
  <c r="K153" i="12" s="1"/>
  <c r="K154" i="12" a="1"/>
  <c r="K154" i="12" s="1"/>
  <c r="K155" i="12" a="1"/>
  <c r="K155" i="12" s="1"/>
  <c r="K156" i="12" a="1"/>
  <c r="K156" i="12" s="1"/>
  <c r="K157" i="12" a="1"/>
  <c r="K157" i="12" s="1"/>
  <c r="K159" i="12" a="1"/>
  <c r="K159" i="12" s="1"/>
  <c r="K160" i="12" a="1"/>
  <c r="K160" i="12" s="1"/>
  <c r="K161" i="12" a="1"/>
  <c r="K161" i="12" s="1"/>
  <c r="K162" i="12" a="1"/>
  <c r="K162" i="12" s="1"/>
  <c r="K163" i="12" a="1"/>
  <c r="K163" i="12" s="1"/>
  <c r="K164" i="12" a="1"/>
  <c r="K164" i="12" s="1"/>
  <c r="K165" i="12" a="1"/>
  <c r="K165" i="12" s="1"/>
  <c r="K166" i="12" a="1"/>
  <c r="K166" i="12" s="1"/>
  <c r="K167" i="12" a="1"/>
  <c r="K167" i="12" s="1"/>
  <c r="K168" i="12" a="1"/>
  <c r="K168" i="12" s="1"/>
  <c r="K169" i="12" a="1"/>
  <c r="K169" i="12" s="1"/>
  <c r="K171" i="12" a="1"/>
  <c r="K171" i="12" s="1"/>
  <c r="K172" i="12" a="1"/>
  <c r="K172" i="12" s="1"/>
  <c r="K173" i="12" a="1"/>
  <c r="K173" i="12" s="1"/>
  <c r="K174" i="12" a="1"/>
  <c r="K174" i="12" s="1"/>
  <c r="K175" i="12" a="1"/>
  <c r="K175" i="12" s="1"/>
  <c r="K176" i="12" a="1"/>
  <c r="K176" i="12" s="1"/>
  <c r="K177" i="12" a="1"/>
  <c r="K177" i="12" s="1"/>
  <c r="K178" i="12" a="1"/>
  <c r="K178" i="12" s="1"/>
  <c r="K179" i="12" a="1"/>
  <c r="K179" i="12" s="1"/>
  <c r="K180" i="12" a="1"/>
  <c r="K180" i="12" s="1"/>
  <c r="K21" i="12" a="1"/>
  <c r="K21" i="12" s="1"/>
  <c r="D88" i="1"/>
  <c r="F88" i="1" s="1"/>
  <c r="D89" i="1"/>
  <c r="F89" i="1" s="1"/>
  <c r="D90" i="1"/>
  <c r="F90" i="1" s="1"/>
  <c r="D87" i="1"/>
  <c r="F87" i="1" s="1"/>
  <c r="C69" i="70"/>
  <c r="C53" i="70"/>
  <c r="C37" i="70"/>
  <c r="C21" i="70"/>
  <c r="C5" i="70"/>
  <c r="R7" i="69" l="1" a="1"/>
  <c r="R7" i="69" s="1"/>
  <c r="Q12" i="69"/>
  <c r="M257" i="36"/>
  <c r="R12" i="69" l="1"/>
  <c r="S7" i="69"/>
  <c r="BH2" i="32" l="1" a="1"/>
  <c r="BH2" i="32" s="1"/>
  <c r="BG2" i="32" a="1"/>
  <c r="BG2" i="32" s="1"/>
  <c r="BF2" i="32" a="1"/>
  <c r="BF2" i="32" s="1"/>
  <c r="BD2" i="32" a="1"/>
  <c r="BD2" i="32" s="1"/>
  <c r="BC2" i="32" a="1"/>
  <c r="BC2" i="32" s="1"/>
  <c r="AC2" i="32" l="1"/>
  <c r="Q2" i="32"/>
  <c r="D40" i="2"/>
  <c r="D39" i="2"/>
  <c r="D35" i="2"/>
  <c r="D34" i="2"/>
  <c r="F34" i="2" s="1"/>
  <c r="D33" i="2"/>
  <c r="D32" i="2"/>
  <c r="D31" i="2"/>
  <c r="D30" i="2"/>
  <c r="D29" i="2"/>
  <c r="D28" i="2"/>
  <c r="D27" i="2"/>
  <c r="D26" i="2"/>
  <c r="D25" i="2"/>
  <c r="D24" i="2"/>
  <c r="D23" i="2"/>
  <c r="D22" i="2"/>
  <c r="D10" i="2"/>
  <c r="D9" i="2"/>
  <c r="D8" i="2"/>
  <c r="D7" i="2"/>
  <c r="D6" i="2"/>
  <c r="F6" i="2" s="1"/>
  <c r="D5" i="2"/>
  <c r="D4" i="2"/>
  <c r="D3" i="2"/>
  <c r="F3" i="2" s="1"/>
  <c r="D2" i="2"/>
  <c r="A29" i="2"/>
  <c r="A24" i="2"/>
  <c r="A23" i="2"/>
  <c r="D99" i="1"/>
  <c r="F99" i="1" s="1"/>
  <c r="D98" i="1"/>
  <c r="F98" i="1" s="1"/>
  <c r="D97" i="1"/>
  <c r="F97" i="1" s="1"/>
  <c r="D96" i="1"/>
  <c r="F96" i="1" s="1"/>
  <c r="D95" i="1"/>
  <c r="F95" i="1" s="1"/>
  <c r="D94" i="1"/>
  <c r="F94" i="1" s="1"/>
  <c r="D93" i="1"/>
  <c r="F93" i="1" s="1"/>
  <c r="H92" i="1"/>
  <c r="D92" i="1"/>
  <c r="F92" i="1" s="1"/>
  <c r="F8" i="2" l="1"/>
  <c r="F27" i="2"/>
  <c r="G27" i="2"/>
  <c r="F35" i="2"/>
  <c r="G35" i="2"/>
  <c r="F24" i="2"/>
  <c r="G24" i="2"/>
  <c r="F2" i="2"/>
  <c r="G2" i="2"/>
  <c r="F10" i="2"/>
  <c r="F25" i="2"/>
  <c r="G25" i="2"/>
  <c r="F29" i="2"/>
  <c r="G29" i="2"/>
  <c r="F40" i="2"/>
  <c r="G40" i="2"/>
  <c r="F4" i="2"/>
  <c r="F23" i="2"/>
  <c r="G23" i="2"/>
  <c r="F31" i="2"/>
  <c r="G31" i="2"/>
  <c r="F9" i="2"/>
  <c r="F28" i="2"/>
  <c r="G28" i="2"/>
  <c r="F39" i="2"/>
  <c r="G39" i="2"/>
  <c r="F7" i="2"/>
  <c r="F22" i="2"/>
  <c r="G22" i="2"/>
  <c r="F26" i="2"/>
  <c r="G26" i="2"/>
  <c r="F30" i="2"/>
  <c r="G30" i="2"/>
  <c r="G18" i="1"/>
  <c r="R2" i="32"/>
  <c r="P2" i="32"/>
  <c r="G15" i="1" l="1"/>
  <c r="B14" i="105" l="1"/>
  <c r="BA2" i="32"/>
  <c r="B5" i="121" l="1"/>
  <c r="J29" i="121" l="1"/>
  <c r="I29" i="121"/>
  <c r="H29" i="121"/>
  <c r="G29" i="121"/>
  <c r="F29" i="121"/>
  <c r="E29" i="121"/>
  <c r="D29" i="121"/>
  <c r="C29" i="121"/>
  <c r="B29" i="121"/>
  <c r="D26" i="121"/>
  <c r="C26" i="121"/>
  <c r="B26" i="121"/>
  <c r="C23" i="121"/>
  <c r="B23" i="121"/>
  <c r="D23" i="121" s="1"/>
  <c r="K20" i="121"/>
  <c r="J20" i="121"/>
  <c r="I20" i="121"/>
  <c r="H20" i="121"/>
  <c r="G20" i="121"/>
  <c r="F20" i="121"/>
  <c r="E20" i="121"/>
  <c r="D20" i="121"/>
  <c r="C20" i="121"/>
  <c r="B20" i="121"/>
  <c r="O17" i="121"/>
  <c r="N17" i="121"/>
  <c r="M17" i="121"/>
  <c r="L17" i="121"/>
  <c r="K17" i="121"/>
  <c r="J17" i="121"/>
  <c r="I17" i="121"/>
  <c r="H17" i="121"/>
  <c r="G17" i="121"/>
  <c r="F17" i="121"/>
  <c r="E17" i="121"/>
  <c r="D17" i="121"/>
  <c r="C17" i="121"/>
  <c r="B17" i="121"/>
  <c r="K14" i="121"/>
  <c r="J14" i="121"/>
  <c r="I14" i="121"/>
  <c r="H14" i="121"/>
  <c r="G14" i="121"/>
  <c r="F14" i="121"/>
  <c r="E14" i="121"/>
  <c r="D14" i="121"/>
  <c r="C14" i="121"/>
  <c r="B14" i="121"/>
  <c r="K11" i="121"/>
  <c r="J11" i="121"/>
  <c r="I11" i="121"/>
  <c r="H11" i="121"/>
  <c r="G11" i="121"/>
  <c r="F11" i="121"/>
  <c r="E11" i="121"/>
  <c r="D11" i="121"/>
  <c r="C11" i="121"/>
  <c r="B11" i="121"/>
  <c r="BC8" i="121"/>
  <c r="BB8" i="121"/>
  <c r="BA8" i="121"/>
  <c r="AZ8" i="121"/>
  <c r="AY8" i="121"/>
  <c r="AX8" i="121"/>
  <c r="AW8" i="121"/>
  <c r="AV8" i="121"/>
  <c r="AU8" i="121"/>
  <c r="AT8" i="121"/>
  <c r="AS8" i="121"/>
  <c r="AR8" i="121"/>
  <c r="AQ8" i="121"/>
  <c r="AP8" i="121"/>
  <c r="AO8" i="121"/>
  <c r="AN8" i="121"/>
  <c r="AM8" i="121"/>
  <c r="AL8" i="121"/>
  <c r="AK8" i="121"/>
  <c r="AJ8" i="121"/>
  <c r="AI8" i="121"/>
  <c r="AH8" i="121"/>
  <c r="AG8" i="121"/>
  <c r="AF8" i="121"/>
  <c r="AE8" i="121"/>
  <c r="AD8" i="121"/>
  <c r="AC8" i="121"/>
  <c r="AB8" i="121"/>
  <c r="AA8" i="121"/>
  <c r="Z8" i="121"/>
  <c r="Y8" i="121"/>
  <c r="X8" i="121"/>
  <c r="W8" i="121"/>
  <c r="V8" i="121"/>
  <c r="U8" i="121"/>
  <c r="T8" i="121"/>
  <c r="S8" i="121"/>
  <c r="R8" i="121"/>
  <c r="Q8" i="121"/>
  <c r="P8" i="121"/>
  <c r="O8" i="121"/>
  <c r="N8" i="121"/>
  <c r="M8" i="121"/>
  <c r="L8" i="121"/>
  <c r="K8" i="121"/>
  <c r="J8" i="121"/>
  <c r="I8" i="121"/>
  <c r="H8" i="121"/>
  <c r="G8" i="121"/>
  <c r="F8" i="121"/>
  <c r="E8" i="121"/>
  <c r="D8" i="121"/>
  <c r="C8" i="121"/>
  <c r="B8" i="121"/>
  <c r="AK5" i="121"/>
  <c r="AJ5" i="121"/>
  <c r="AI5" i="121"/>
  <c r="AH5" i="121"/>
  <c r="AG5" i="121"/>
  <c r="AF5" i="121"/>
  <c r="AE5" i="121"/>
  <c r="AD5" i="121"/>
  <c r="AC5" i="121"/>
  <c r="AB5" i="121"/>
  <c r="AA5" i="121"/>
  <c r="Z5" i="121"/>
  <c r="Y5" i="121"/>
  <c r="X5" i="121"/>
  <c r="W5" i="121"/>
  <c r="V5" i="121"/>
  <c r="U5" i="121"/>
  <c r="T5" i="121"/>
  <c r="S5" i="121"/>
  <c r="R5" i="121"/>
  <c r="Q5" i="121"/>
  <c r="P5" i="121"/>
  <c r="O5" i="121"/>
  <c r="N5" i="121"/>
  <c r="M5" i="121"/>
  <c r="L5" i="121"/>
  <c r="K5" i="121"/>
  <c r="J5" i="121"/>
  <c r="I5" i="121"/>
  <c r="H5" i="121"/>
  <c r="G5" i="121"/>
  <c r="F5" i="121"/>
  <c r="E5" i="121"/>
  <c r="D5" i="121"/>
  <c r="C5" i="121"/>
  <c r="C2" i="32"/>
  <c r="B2" i="36" s="1" a="1"/>
  <c r="B2" i="36" s="1"/>
  <c r="D2" i="32"/>
  <c r="E2" i="32"/>
  <c r="F2" i="32"/>
  <c r="G2" i="32"/>
  <c r="H2" i="32"/>
  <c r="I2" i="32"/>
  <c r="L2" i="32"/>
  <c r="M2" i="32"/>
  <c r="N2" i="32"/>
  <c r="U2" i="32"/>
  <c r="V2" i="32"/>
  <c r="W2" i="32"/>
  <c r="X2" i="32"/>
  <c r="AA2" i="32"/>
  <c r="AB2" i="32"/>
  <c r="AG2" i="32"/>
  <c r="AH2" i="32"/>
  <c r="AI2" i="32" s="1"/>
  <c r="AL2" i="32"/>
  <c r="AN2" i="32"/>
  <c r="AO2" i="32"/>
  <c r="AP2" i="32"/>
  <c r="AQ2" i="32"/>
  <c r="AR2" i="32"/>
  <c r="AT2" i="32"/>
  <c r="AV2" i="32"/>
  <c r="AW2" i="32"/>
  <c r="AX2" i="32"/>
  <c r="AZ2" i="32"/>
  <c r="BB2" i="32"/>
  <c r="BJ2" i="32" a="1"/>
  <c r="BJ2" i="32" s="1"/>
  <c r="O2" i="32" s="1"/>
  <c r="BM2" i="32" a="1"/>
  <c r="BM2" i="32" s="1"/>
  <c r="BN2" i="32" a="1"/>
  <c r="BN2" i="32" s="1"/>
  <c r="BO2" i="32" a="1"/>
  <c r="BO2" i="32" s="1"/>
  <c r="BS2" i="32" a="1"/>
  <c r="BS2" i="32" s="1"/>
  <c r="BY2" i="32"/>
  <c r="B14" i="36" l="1" a="1"/>
  <c r="B14" i="36" s="1"/>
  <c r="B37" i="12" s="1" a="1"/>
  <c r="B37" i="12" s="1"/>
  <c r="B146" i="36" a="1"/>
  <c r="B146" i="36" s="1"/>
  <c r="B17" i="44" a="1"/>
  <c r="B17" i="44" s="1"/>
  <c r="B14" i="44" a="1"/>
  <c r="B14" i="44" s="1"/>
  <c r="B11" i="44" a="1"/>
  <c r="B11" i="44" s="1"/>
  <c r="H1" i="12" a="1"/>
  <c r="H1" i="12" s="1"/>
  <c r="B2" i="11" a="1"/>
  <c r="B2" i="11" s="1"/>
  <c r="B2" i="40" a="1"/>
  <c r="B2" i="40" s="1"/>
  <c r="A2" i="29" a="1"/>
  <c r="A2" i="29" s="1"/>
  <c r="A2" i="54" a="1"/>
  <c r="A2" i="54" s="1"/>
  <c r="B2" i="43" a="1"/>
  <c r="B2" i="43" s="1"/>
  <c r="A2" i="12" a="1"/>
  <c r="A2" i="12" s="1"/>
  <c r="A2" i="11" a="1"/>
  <c r="A2" i="11" s="1"/>
  <c r="B2" i="41" a="1"/>
  <c r="B2" i="41" s="1"/>
  <c r="A2" i="40" a="1"/>
  <c r="A2" i="40" s="1"/>
  <c r="A2" i="38" a="1"/>
  <c r="A2" i="38" s="1"/>
  <c r="B2" i="119" a="1"/>
  <c r="B2" i="119" s="1"/>
  <c r="B2" i="44" a="1"/>
  <c r="B2" i="44" s="1"/>
  <c r="A2" i="43" a="1"/>
  <c r="A2" i="43" s="1"/>
  <c r="B2" i="10" a="1"/>
  <c r="B2" i="10" s="1"/>
  <c r="A2" i="41" a="1"/>
  <c r="A2" i="41" s="1"/>
  <c r="A2" i="30" a="1"/>
  <c r="A2" i="30" s="1"/>
  <c r="A2" i="8" a="1"/>
  <c r="A2" i="8" s="1"/>
  <c r="B2" i="54" a="1"/>
  <c r="B2" i="54" s="1"/>
  <c r="A2" i="119" a="1"/>
  <c r="A2" i="119" s="1"/>
  <c r="A2" i="44" a="1"/>
  <c r="A2" i="44" s="1"/>
  <c r="B2" i="30" a="1"/>
  <c r="B2" i="30" s="1"/>
  <c r="A2" i="10" a="1"/>
  <c r="A2" i="10" s="1"/>
  <c r="B2" i="8" a="1"/>
  <c r="B2" i="8" s="1"/>
  <c r="B2" i="29" a="1"/>
  <c r="B2" i="29" s="1"/>
  <c r="B2" i="12" a="1"/>
  <c r="B2" i="12" s="1"/>
  <c r="D27" i="69" a="1"/>
  <c r="D27" i="69" s="1"/>
  <c r="D45" i="69" a="1"/>
  <c r="D45" i="69" s="1"/>
  <c r="D9" i="69" a="1"/>
  <c r="D9" i="69" s="1"/>
  <c r="M9" i="36" a="1"/>
  <c r="M9" i="36" s="1"/>
  <c r="I9" i="36" s="1" a="1"/>
  <c r="I9" i="36" s="1"/>
  <c r="M13" i="36" a="1"/>
  <c r="M13" i="36" s="1"/>
  <c r="I13" i="36" s="1" a="1"/>
  <c r="I13" i="36" s="1"/>
  <c r="M26" i="36" a="1"/>
  <c r="M26" i="36" s="1"/>
  <c r="I26" i="36" s="1" a="1"/>
  <c r="I26" i="36" s="1"/>
  <c r="M30" i="36" a="1"/>
  <c r="M30" i="36" s="1"/>
  <c r="I30" i="36" s="1" a="1"/>
  <c r="I30" i="36" s="1"/>
  <c r="M34" i="36" a="1"/>
  <c r="M34" i="36" s="1"/>
  <c r="I34" i="36" s="1" a="1"/>
  <c r="I34" i="36" s="1"/>
  <c r="M91" i="36" a="1"/>
  <c r="M91" i="36" s="1"/>
  <c r="M92" i="36" a="1"/>
  <c r="M92" i="36" s="1"/>
  <c r="I92" i="36" s="1" a="1"/>
  <c r="I92" i="36" s="1"/>
  <c r="M93" i="36" a="1"/>
  <c r="M93" i="36" s="1"/>
  <c r="I93" i="36" s="1" a="1"/>
  <c r="I93" i="36" s="1"/>
  <c r="M94" i="36" a="1"/>
  <c r="M94" i="36" s="1"/>
  <c r="I94" i="36" s="1" a="1"/>
  <c r="I94" i="36" s="1"/>
  <c r="M95" i="36" a="1"/>
  <c r="M95" i="36" s="1"/>
  <c r="I95" i="36" s="1" a="1"/>
  <c r="I95" i="36" s="1"/>
  <c r="M96" i="36" a="1"/>
  <c r="M96" i="36" s="1"/>
  <c r="I96" i="36" s="1" a="1"/>
  <c r="I96" i="36" s="1"/>
  <c r="M97" i="36" a="1"/>
  <c r="M97" i="36" s="1"/>
  <c r="I97" i="36" s="1" a="1"/>
  <c r="I97" i="36" s="1"/>
  <c r="M98" i="36" a="1"/>
  <c r="M98" i="36" s="1"/>
  <c r="I98" i="36" s="1" a="1"/>
  <c r="I98" i="36" s="1"/>
  <c r="M99" i="36" a="1"/>
  <c r="M99" i="36" s="1"/>
  <c r="I99" i="36" s="1" a="1"/>
  <c r="I99" i="36" s="1"/>
  <c r="M100" i="36" a="1"/>
  <c r="M100" i="36" s="1"/>
  <c r="I100" i="36" s="1" a="1"/>
  <c r="I100" i="36" s="1"/>
  <c r="M101" i="36" a="1"/>
  <c r="M101" i="36" s="1"/>
  <c r="I101" i="36" s="1" a="1"/>
  <c r="I101" i="36" s="1"/>
  <c r="M113" i="36" a="1"/>
  <c r="M113" i="36" s="1"/>
  <c r="M114" i="36" a="1"/>
  <c r="M114" i="36" s="1"/>
  <c r="I114" i="36" s="1" a="1"/>
  <c r="I114" i="36" s="1"/>
  <c r="M115" i="36" a="1"/>
  <c r="M115" i="36" s="1"/>
  <c r="I115" i="36" s="1" a="1"/>
  <c r="I115" i="36" s="1"/>
  <c r="M116" i="36" a="1"/>
  <c r="M116" i="36" s="1"/>
  <c r="I116" i="36" s="1" a="1"/>
  <c r="I116" i="36" s="1"/>
  <c r="M117" i="36" a="1"/>
  <c r="M117" i="36" s="1"/>
  <c r="I117" i="36" s="1" a="1"/>
  <c r="I117" i="36" s="1"/>
  <c r="M118" i="36" a="1"/>
  <c r="M118" i="36" s="1"/>
  <c r="I118" i="36" s="1" a="1"/>
  <c r="I118" i="36" s="1"/>
  <c r="M119" i="36" a="1"/>
  <c r="M119" i="36" s="1"/>
  <c r="I119" i="36" s="1" a="1"/>
  <c r="I119" i="36" s="1"/>
  <c r="M120" i="36" a="1"/>
  <c r="M120" i="36" s="1"/>
  <c r="I120" i="36" s="1" a="1"/>
  <c r="I120" i="36" s="1"/>
  <c r="M121" i="36" a="1"/>
  <c r="M121" i="36" s="1"/>
  <c r="I121" i="36" s="1" a="1"/>
  <c r="I121" i="36" s="1"/>
  <c r="M122" i="36" a="1"/>
  <c r="M122" i="36" s="1"/>
  <c r="I122" i="36" s="1" a="1"/>
  <c r="I122" i="36" s="1"/>
  <c r="M123" i="36" a="1"/>
  <c r="M123" i="36" s="1"/>
  <c r="I123" i="36" s="1" a="1"/>
  <c r="I123" i="36" s="1"/>
  <c r="I295" i="36" a="1"/>
  <c r="I295" i="36" s="1"/>
  <c r="I300" i="36" a="1"/>
  <c r="I300" i="36" s="1"/>
  <c r="D63" i="69" a="1"/>
  <c r="D63" i="69" s="1"/>
  <c r="D81" i="69" a="1"/>
  <c r="D81" i="69" s="1"/>
  <c r="B3" i="36" a="1"/>
  <c r="B3" i="36" s="1"/>
  <c r="B22" i="12" s="1" a="1"/>
  <c r="B22" i="12" s="1"/>
  <c r="L22" i="12" s="1"/>
  <c r="B26" i="36" a="1"/>
  <c r="B26" i="36" s="1"/>
  <c r="M12" i="36" a="1"/>
  <c r="M12" i="36" s="1"/>
  <c r="I12" i="36" s="1" a="1"/>
  <c r="I12" i="36" s="1"/>
  <c r="M14" i="36" a="1"/>
  <c r="M14" i="36" s="1"/>
  <c r="M27" i="36" a="1"/>
  <c r="M27" i="36" s="1"/>
  <c r="I27" i="36" s="1" a="1"/>
  <c r="I27" i="36" s="1"/>
  <c r="M36" i="36" a="1"/>
  <c r="M36" i="36" s="1"/>
  <c r="M37" i="36" a="1"/>
  <c r="M37" i="36" s="1"/>
  <c r="I37" i="36" s="1" a="1"/>
  <c r="I37" i="36" s="1"/>
  <c r="M38" i="36" a="1"/>
  <c r="M38" i="36" s="1"/>
  <c r="I38" i="36" s="1" a="1"/>
  <c r="I38" i="36" s="1"/>
  <c r="M39" i="36" a="1"/>
  <c r="M39" i="36" s="1"/>
  <c r="I39" i="36" s="1" a="1"/>
  <c r="I39" i="36" s="1"/>
  <c r="M40" i="36" a="1"/>
  <c r="M40" i="36" s="1"/>
  <c r="I40" i="36" s="1" a="1"/>
  <c r="I40" i="36" s="1"/>
  <c r="M41" i="36" a="1"/>
  <c r="M41" i="36" s="1"/>
  <c r="I41" i="36" s="1" a="1"/>
  <c r="I41" i="36" s="1"/>
  <c r="M42" i="36" a="1"/>
  <c r="M42" i="36" s="1"/>
  <c r="I42" i="36" s="1" a="1"/>
  <c r="I42" i="36" s="1"/>
  <c r="M43" i="36" a="1"/>
  <c r="M43" i="36" s="1"/>
  <c r="I43" i="36" s="1" a="1"/>
  <c r="I43" i="36" s="1"/>
  <c r="M44" i="36" a="1"/>
  <c r="M44" i="36" s="1"/>
  <c r="I44" i="36" s="1" a="1"/>
  <c r="I44" i="36" s="1"/>
  <c r="M45" i="36" a="1"/>
  <c r="M45" i="36" s="1"/>
  <c r="I45" i="36" s="1" a="1"/>
  <c r="I45" i="36" s="1"/>
  <c r="M46" i="36" a="1"/>
  <c r="M46" i="36" s="1"/>
  <c r="I46" i="36" s="1" a="1"/>
  <c r="I46" i="36" s="1"/>
  <c r="M58" i="36" a="1"/>
  <c r="M58" i="36" s="1"/>
  <c r="M59" i="36" a="1"/>
  <c r="M59" i="36" s="1"/>
  <c r="I59" i="36" s="1" a="1"/>
  <c r="I59" i="36" s="1"/>
  <c r="M60" i="36" a="1"/>
  <c r="M60" i="36" s="1"/>
  <c r="I60" i="36" s="1" a="1"/>
  <c r="I60" i="36" s="1"/>
  <c r="M61" i="36" a="1"/>
  <c r="M61" i="36" s="1"/>
  <c r="I61" i="36" s="1" a="1"/>
  <c r="I61" i="36" s="1"/>
  <c r="M62" i="36" a="1"/>
  <c r="M62" i="36" s="1"/>
  <c r="I62" i="36" s="1" a="1"/>
  <c r="I62" i="36" s="1"/>
  <c r="M63" i="36" a="1"/>
  <c r="M63" i="36" s="1"/>
  <c r="I63" i="36" s="1" a="1"/>
  <c r="I63" i="36" s="1"/>
  <c r="M64" i="36" a="1"/>
  <c r="M64" i="36" s="1"/>
  <c r="I64" i="36" s="1" a="1"/>
  <c r="I64" i="36" s="1"/>
  <c r="M65" i="36" a="1"/>
  <c r="M65" i="36" s="1"/>
  <c r="I65" i="36" s="1" a="1"/>
  <c r="I65" i="36" s="1"/>
  <c r="M66" i="36" a="1"/>
  <c r="M66" i="36" s="1"/>
  <c r="I66" i="36" s="1" a="1"/>
  <c r="I66" i="36" s="1"/>
  <c r="M67" i="36" a="1"/>
  <c r="M67" i="36" s="1"/>
  <c r="I67" i="36" s="1" a="1"/>
  <c r="I67" i="36" s="1"/>
  <c r="M68" i="36" a="1"/>
  <c r="M68" i="36" s="1"/>
  <c r="I68" i="36" s="1" a="1"/>
  <c r="I68" i="36" s="1"/>
  <c r="M80" i="36" a="1"/>
  <c r="M80" i="36" s="1"/>
  <c r="M134" i="36" a="1"/>
  <c r="M134" i="36" s="1"/>
  <c r="I134" i="36" s="1" a="1"/>
  <c r="I134" i="36" s="1"/>
  <c r="I146" i="36" a="1"/>
  <c r="I146" i="36" s="1"/>
  <c r="I159" i="36" a="1"/>
  <c r="I159" i="36" s="1"/>
  <c r="I160" i="36" a="1"/>
  <c r="I160" i="36" s="1"/>
  <c r="I161" i="36" a="1"/>
  <c r="I161" i="36" s="1"/>
  <c r="I162" i="36" a="1"/>
  <c r="I162" i="36" s="1"/>
  <c r="I163" i="36" a="1"/>
  <c r="I163" i="36" s="1"/>
  <c r="I164" i="36" a="1"/>
  <c r="I164" i="36" s="1"/>
  <c r="I165" i="36" a="1"/>
  <c r="I165" i="36" s="1"/>
  <c r="I166" i="36" a="1"/>
  <c r="I166" i="36" s="1"/>
  <c r="I167" i="36" a="1"/>
  <c r="I167" i="36" s="1"/>
  <c r="I168" i="36" a="1"/>
  <c r="I168" i="36" s="1"/>
  <c r="I181" i="36" a="1"/>
  <c r="I181" i="36" s="1"/>
  <c r="I182" i="36" a="1"/>
  <c r="I182" i="36" s="1"/>
  <c r="I183" i="36" a="1"/>
  <c r="I183" i="36" s="1"/>
  <c r="I184" i="36" a="1"/>
  <c r="I184" i="36" s="1"/>
  <c r="I185" i="36" a="1"/>
  <c r="I185" i="36" s="1"/>
  <c r="I186" i="36" a="1"/>
  <c r="I186" i="36" s="1"/>
  <c r="I187" i="36" a="1"/>
  <c r="I187" i="36" s="1"/>
  <c r="I188" i="36" a="1"/>
  <c r="I188" i="36" s="1"/>
  <c r="I189" i="36" a="1"/>
  <c r="I189" i="36" s="1"/>
  <c r="I190" i="36" a="1"/>
  <c r="I190" i="36" s="1"/>
  <c r="I203" i="36" a="1"/>
  <c r="I203" i="36" s="1"/>
  <c r="I204" i="36" a="1"/>
  <c r="I204" i="36" s="1"/>
  <c r="I205" i="36" a="1"/>
  <c r="I205" i="36" s="1"/>
  <c r="I206" i="36" a="1"/>
  <c r="I206" i="36" s="1"/>
  <c r="I207" i="36" a="1"/>
  <c r="I207" i="36" s="1"/>
  <c r="I208" i="36" a="1"/>
  <c r="I208" i="36" s="1"/>
  <c r="I209" i="36" a="1"/>
  <c r="I209" i="36" s="1"/>
  <c r="I210" i="36" a="1"/>
  <c r="I210" i="36" s="1"/>
  <c r="I211" i="36" a="1"/>
  <c r="I211" i="36" s="1"/>
  <c r="I212" i="36" a="1"/>
  <c r="I212" i="36" s="1"/>
  <c r="I225" i="36" a="1"/>
  <c r="I225" i="36" s="1"/>
  <c r="I226" i="36" a="1"/>
  <c r="I226" i="36" s="1"/>
  <c r="I227" i="36" a="1"/>
  <c r="I227" i="36" s="1"/>
  <c r="I228" i="36" a="1"/>
  <c r="I228" i="36" s="1"/>
  <c r="I229" i="36" a="1"/>
  <c r="I229" i="36" s="1"/>
  <c r="I230" i="36" a="1"/>
  <c r="I230" i="36" s="1"/>
  <c r="I231" i="36" a="1"/>
  <c r="I231" i="36" s="1"/>
  <c r="I232" i="36" a="1"/>
  <c r="I232" i="36" s="1"/>
  <c r="I233" i="36" a="1"/>
  <c r="I233" i="36" s="1"/>
  <c r="I234" i="36" a="1"/>
  <c r="I234" i="36" s="1"/>
  <c r="I247" i="36" a="1"/>
  <c r="I247" i="36" s="1"/>
  <c r="I248" i="36" a="1"/>
  <c r="I248" i="36" s="1"/>
  <c r="I249" i="36" a="1"/>
  <c r="I249" i="36" s="1"/>
  <c r="I250" i="36" a="1"/>
  <c r="I250" i="36" s="1"/>
  <c r="I251" i="36" a="1"/>
  <c r="I251" i="36" s="1"/>
  <c r="I252" i="36" a="1"/>
  <c r="I252" i="36" s="1"/>
  <c r="I253" i="36" a="1"/>
  <c r="I253" i="36" s="1"/>
  <c r="I254" i="36" a="1"/>
  <c r="I254" i="36" s="1"/>
  <c r="I255" i="36" a="1"/>
  <c r="I255" i="36" s="1"/>
  <c r="I256" i="36" a="1"/>
  <c r="I256" i="36" s="1"/>
  <c r="B43" i="105" a="1"/>
  <c r="B43" i="105" s="1"/>
  <c r="A5" i="67" a="1"/>
  <c r="A5" i="67" s="1"/>
  <c r="A17" i="67" a="1"/>
  <c r="A17" i="67" s="1"/>
  <c r="B25" i="36" a="1"/>
  <c r="B25" i="36" s="1"/>
  <c r="B49" i="12" s="1" a="1"/>
  <c r="B49" i="12" s="1"/>
  <c r="M2" i="36" a="1"/>
  <c r="M2" i="36" s="1"/>
  <c r="M8" i="36" a="1"/>
  <c r="M8" i="36" s="1"/>
  <c r="I8" i="36" s="1" a="1"/>
  <c r="I8" i="36" s="1"/>
  <c r="M11" i="36" a="1"/>
  <c r="M11" i="36" s="1"/>
  <c r="I11" i="36" s="1" a="1"/>
  <c r="I11" i="36" s="1"/>
  <c r="M15" i="36" a="1"/>
  <c r="M15" i="36" s="1"/>
  <c r="I15" i="36" s="1" a="1"/>
  <c r="I15" i="36" s="1"/>
  <c r="M16" i="36" a="1"/>
  <c r="M16" i="36" s="1"/>
  <c r="I16" i="36" s="1" a="1"/>
  <c r="I16" i="36" s="1"/>
  <c r="M17" i="36" a="1"/>
  <c r="M17" i="36" s="1"/>
  <c r="I17" i="36" s="1" a="1"/>
  <c r="I17" i="36" s="1"/>
  <c r="M18" i="36" a="1"/>
  <c r="M18" i="36" s="1"/>
  <c r="I18" i="36" s="1" a="1"/>
  <c r="I18" i="36" s="1"/>
  <c r="M19" i="36" a="1"/>
  <c r="M19" i="36" s="1"/>
  <c r="I19" i="36" s="1" a="1"/>
  <c r="I19" i="36" s="1"/>
  <c r="M20" i="36" a="1"/>
  <c r="M20" i="36" s="1"/>
  <c r="I20" i="36" s="1" a="1"/>
  <c r="I20" i="36" s="1"/>
  <c r="M21" i="36" a="1"/>
  <c r="M21" i="36" s="1"/>
  <c r="I21" i="36" s="1" a="1"/>
  <c r="I21" i="36" s="1"/>
  <c r="M22" i="36" a="1"/>
  <c r="M22" i="36" s="1"/>
  <c r="I22" i="36" s="1" a="1"/>
  <c r="I22" i="36" s="1"/>
  <c r="M23" i="36" a="1"/>
  <c r="M23" i="36" s="1"/>
  <c r="I23" i="36" s="1" a="1"/>
  <c r="I23" i="36" s="1"/>
  <c r="M24" i="36" a="1"/>
  <c r="M24" i="36" s="1"/>
  <c r="I24" i="36" s="1" a="1"/>
  <c r="I24" i="36" s="1"/>
  <c r="M33" i="36" a="1"/>
  <c r="M33" i="36" s="1"/>
  <c r="I33" i="36" s="1" a="1"/>
  <c r="I33" i="36" s="1"/>
  <c r="M81" i="36" a="1"/>
  <c r="M81" i="36" s="1"/>
  <c r="I81" i="36" s="1" a="1"/>
  <c r="I81" i="36" s="1"/>
  <c r="M82" i="36" a="1"/>
  <c r="M82" i="36" s="1"/>
  <c r="I82" i="36" s="1" a="1"/>
  <c r="I82" i="36" s="1"/>
  <c r="M83" i="36" a="1"/>
  <c r="M83" i="36" s="1"/>
  <c r="I83" i="36" s="1" a="1"/>
  <c r="I83" i="36" s="1"/>
  <c r="M84" i="36" a="1"/>
  <c r="M84" i="36" s="1"/>
  <c r="I84" i="36" s="1" a="1"/>
  <c r="I84" i="36" s="1"/>
  <c r="M85" i="36" a="1"/>
  <c r="M85" i="36" s="1"/>
  <c r="I85" i="36" s="1" a="1"/>
  <c r="I85" i="36" s="1"/>
  <c r="M86" i="36" a="1"/>
  <c r="M86" i="36" s="1"/>
  <c r="I86" i="36" s="1" a="1"/>
  <c r="I86" i="36" s="1"/>
  <c r="M87" i="36" a="1"/>
  <c r="M87" i="36" s="1"/>
  <c r="I87" i="36" s="1" a="1"/>
  <c r="I87" i="36" s="1"/>
  <c r="M88" i="36" a="1"/>
  <c r="M88" i="36" s="1"/>
  <c r="I88" i="36" s="1" a="1"/>
  <c r="I88" i="36" s="1"/>
  <c r="M89" i="36" a="1"/>
  <c r="M89" i="36" s="1"/>
  <c r="I89" i="36" s="1" a="1"/>
  <c r="I89" i="36" s="1"/>
  <c r="M90" i="36" a="1"/>
  <c r="M90" i="36" s="1"/>
  <c r="I90" i="36" s="1" a="1"/>
  <c r="I90" i="36" s="1"/>
  <c r="M3" i="36" a="1"/>
  <c r="M3" i="36" s="1"/>
  <c r="M4" i="36" a="1"/>
  <c r="M4" i="36" s="1"/>
  <c r="M5" i="36" a="1"/>
  <c r="M5" i="36" s="1"/>
  <c r="I5" i="36" s="1" a="1"/>
  <c r="I5" i="36" s="1"/>
  <c r="M6" i="36" a="1"/>
  <c r="M6" i="36" s="1"/>
  <c r="I6" i="36" s="1" a="1"/>
  <c r="I6" i="36" s="1"/>
  <c r="M28" i="36" a="1"/>
  <c r="M28" i="36" s="1"/>
  <c r="I28" i="36" s="1" a="1"/>
  <c r="I28" i="36" s="1"/>
  <c r="M31" i="36" a="1"/>
  <c r="M31" i="36" s="1"/>
  <c r="I31" i="36" s="1" a="1"/>
  <c r="I31" i="36" s="1"/>
  <c r="M69" i="36" a="1"/>
  <c r="M69" i="36" s="1"/>
  <c r="M70" i="36" a="1"/>
  <c r="M70" i="36" s="1"/>
  <c r="I70" i="36" s="1" a="1"/>
  <c r="I70" i="36" s="1"/>
  <c r="M71" i="36" a="1"/>
  <c r="M71" i="36" s="1"/>
  <c r="I71" i="36" s="1" a="1"/>
  <c r="I71" i="36" s="1"/>
  <c r="M72" i="36" a="1"/>
  <c r="M72" i="36" s="1"/>
  <c r="I72" i="36" s="1" a="1"/>
  <c r="I72" i="36" s="1"/>
  <c r="M73" i="36" a="1"/>
  <c r="M73" i="36" s="1"/>
  <c r="I73" i="36" s="1" a="1"/>
  <c r="I73" i="36" s="1"/>
  <c r="M74" i="36" a="1"/>
  <c r="M74" i="36" s="1"/>
  <c r="I74" i="36" s="1" a="1"/>
  <c r="I74" i="36" s="1"/>
  <c r="M75" i="36" a="1"/>
  <c r="M75" i="36" s="1"/>
  <c r="I75" i="36" s="1" a="1"/>
  <c r="I75" i="36" s="1"/>
  <c r="M76" i="36" a="1"/>
  <c r="M76" i="36" s="1"/>
  <c r="I76" i="36" s="1" a="1"/>
  <c r="I76" i="36" s="1"/>
  <c r="M77" i="36" a="1"/>
  <c r="M77" i="36" s="1"/>
  <c r="I77" i="36" s="1" a="1"/>
  <c r="I77" i="36" s="1"/>
  <c r="M78" i="36" a="1"/>
  <c r="M78" i="36" s="1"/>
  <c r="I78" i="36" s="1" a="1"/>
  <c r="I78" i="36" s="1"/>
  <c r="M79" i="36" a="1"/>
  <c r="M79" i="36" s="1"/>
  <c r="I79" i="36" s="1" a="1"/>
  <c r="I79" i="36" s="1"/>
  <c r="M102" i="36" a="1"/>
  <c r="M102" i="36" s="1"/>
  <c r="M103" i="36" a="1"/>
  <c r="M103" i="36" s="1"/>
  <c r="I103" i="36" s="1" a="1"/>
  <c r="I103" i="36" s="1"/>
  <c r="M104" i="36" a="1"/>
  <c r="M104" i="36" s="1"/>
  <c r="I104" i="36" s="1" a="1"/>
  <c r="I104" i="36" s="1"/>
  <c r="M105" i="36" a="1"/>
  <c r="M105" i="36" s="1"/>
  <c r="I105" i="36" s="1" a="1"/>
  <c r="I105" i="36" s="1"/>
  <c r="M106" i="36" a="1"/>
  <c r="M106" i="36" s="1"/>
  <c r="I106" i="36" s="1" a="1"/>
  <c r="I106" i="36" s="1"/>
  <c r="M107" i="36" a="1"/>
  <c r="M107" i="36" s="1"/>
  <c r="I107" i="36" s="1" a="1"/>
  <c r="I107" i="36" s="1"/>
  <c r="M108" i="36" a="1"/>
  <c r="M108" i="36" s="1"/>
  <c r="I108" i="36" s="1" a="1"/>
  <c r="I108" i="36" s="1"/>
  <c r="M109" i="36" a="1"/>
  <c r="M109" i="36" s="1"/>
  <c r="I109" i="36" s="1" a="1"/>
  <c r="I109" i="36" s="1"/>
  <c r="M110" i="36" a="1"/>
  <c r="M110" i="36" s="1"/>
  <c r="I110" i="36" s="1" a="1"/>
  <c r="I110" i="36" s="1"/>
  <c r="M111" i="36" a="1"/>
  <c r="M111" i="36" s="1"/>
  <c r="I111" i="36" s="1" a="1"/>
  <c r="I111" i="36" s="1"/>
  <c r="M112" i="36" a="1"/>
  <c r="M112" i="36" s="1"/>
  <c r="I112" i="36" s="1" a="1"/>
  <c r="I112" i="36" s="1"/>
  <c r="I192" i="36" a="1"/>
  <c r="I192" i="36" s="1"/>
  <c r="I193" i="36" a="1"/>
  <c r="I193" i="36" s="1"/>
  <c r="I194" i="36" a="1"/>
  <c r="I194" i="36" s="1"/>
  <c r="I195" i="36" a="1"/>
  <c r="I195" i="36" s="1"/>
  <c r="I196" i="36" a="1"/>
  <c r="I196" i="36" s="1"/>
  <c r="I197" i="36" a="1"/>
  <c r="I197" i="36" s="1"/>
  <c r="I198" i="36" a="1"/>
  <c r="I198" i="36" s="1"/>
  <c r="I199" i="36" a="1"/>
  <c r="I199" i="36" s="1"/>
  <c r="I200" i="36" a="1"/>
  <c r="I200" i="36" s="1"/>
  <c r="I201" i="36" a="1"/>
  <c r="I201" i="36" s="1"/>
  <c r="I271" i="36" a="1"/>
  <c r="I271" i="36" s="1"/>
  <c r="M25" i="36" a="1"/>
  <c r="M25" i="36" s="1"/>
  <c r="M124" i="36" a="1"/>
  <c r="M124" i="36" s="1"/>
  <c r="M125" i="36" a="1"/>
  <c r="M125" i="36" s="1"/>
  <c r="I125" i="36" s="1" a="1"/>
  <c r="I125" i="36" s="1"/>
  <c r="M126" i="36" a="1"/>
  <c r="M126" i="36" s="1"/>
  <c r="I126" i="36" s="1" a="1"/>
  <c r="I126" i="36" s="1"/>
  <c r="M127" i="36" a="1"/>
  <c r="M127" i="36" s="1"/>
  <c r="I127" i="36" s="1" a="1"/>
  <c r="I127" i="36" s="1"/>
  <c r="M128" i="36" a="1"/>
  <c r="M128" i="36" s="1"/>
  <c r="I128" i="36" s="1" a="1"/>
  <c r="I128" i="36" s="1"/>
  <c r="M129" i="36" a="1"/>
  <c r="M129" i="36" s="1"/>
  <c r="I129" i="36" s="1" a="1"/>
  <c r="I129" i="36" s="1"/>
  <c r="M130" i="36" a="1"/>
  <c r="M130" i="36" s="1"/>
  <c r="I130" i="36" s="1" a="1"/>
  <c r="I130" i="36" s="1"/>
  <c r="M131" i="36" a="1"/>
  <c r="M131" i="36" s="1"/>
  <c r="I131" i="36" s="1" a="1"/>
  <c r="I131" i="36" s="1"/>
  <c r="M132" i="36" a="1"/>
  <c r="M132" i="36" s="1"/>
  <c r="I132" i="36" s="1" a="1"/>
  <c r="I132" i="36" s="1"/>
  <c r="M133" i="36" a="1"/>
  <c r="M133" i="36" s="1"/>
  <c r="I133" i="36" s="1" a="1"/>
  <c r="I133" i="36" s="1"/>
  <c r="I214" i="36" a="1"/>
  <c r="I214" i="36" s="1"/>
  <c r="I215" i="36" a="1"/>
  <c r="I215" i="36" s="1"/>
  <c r="I216" i="36" a="1"/>
  <c r="I216" i="36" s="1"/>
  <c r="I217" i="36" a="1"/>
  <c r="I217" i="36" s="1"/>
  <c r="I218" i="36" a="1"/>
  <c r="I218" i="36" s="1"/>
  <c r="I219" i="36" a="1"/>
  <c r="I219" i="36" s="1"/>
  <c r="I220" i="36" a="1"/>
  <c r="I220" i="36" s="1"/>
  <c r="I221" i="36" a="1"/>
  <c r="I221" i="36" s="1"/>
  <c r="I222" i="36" a="1"/>
  <c r="I222" i="36" s="1"/>
  <c r="I223" i="36" a="1"/>
  <c r="I223" i="36" s="1"/>
  <c r="M10" i="36" a="1"/>
  <c r="M10" i="36" s="1"/>
  <c r="I10" i="36" s="1" a="1"/>
  <c r="I10" i="36" s="1"/>
  <c r="M35" i="36" a="1"/>
  <c r="M35" i="36" s="1"/>
  <c r="I35" i="36" s="1" a="1"/>
  <c r="I35" i="36" s="1"/>
  <c r="I148" i="36" a="1"/>
  <c r="I148" i="36" s="1"/>
  <c r="I149" i="36" a="1"/>
  <c r="I149" i="36" s="1"/>
  <c r="I150" i="36" a="1"/>
  <c r="I150" i="36" s="1"/>
  <c r="I151" i="36" a="1"/>
  <c r="I151" i="36" s="1"/>
  <c r="I152" i="36" a="1"/>
  <c r="I152" i="36" s="1"/>
  <c r="I153" i="36" a="1"/>
  <c r="I153" i="36" s="1"/>
  <c r="I154" i="36" a="1"/>
  <c r="I154" i="36" s="1"/>
  <c r="I155" i="36" a="1"/>
  <c r="I155" i="36" s="1"/>
  <c r="I156" i="36" a="1"/>
  <c r="I156" i="36" s="1"/>
  <c r="I157" i="36" a="1"/>
  <c r="I157" i="36" s="1"/>
  <c r="I236" i="36" a="1"/>
  <c r="I236" i="36" s="1"/>
  <c r="I237" i="36" a="1"/>
  <c r="I237" i="36" s="1"/>
  <c r="I238" i="36" a="1"/>
  <c r="I238" i="36" s="1"/>
  <c r="I239" i="36" a="1"/>
  <c r="I239" i="36" s="1"/>
  <c r="I240" i="36" a="1"/>
  <c r="I240" i="36" s="1"/>
  <c r="I241" i="36" a="1"/>
  <c r="I241" i="36" s="1"/>
  <c r="I242" i="36" a="1"/>
  <c r="I242" i="36" s="1"/>
  <c r="I243" i="36" a="1"/>
  <c r="I243" i="36" s="1"/>
  <c r="I244" i="36" a="1"/>
  <c r="I244" i="36" s="1"/>
  <c r="I245" i="36" a="1"/>
  <c r="I245" i="36" s="1"/>
  <c r="B25" i="67" a="1"/>
  <c r="B25" i="67" s="1"/>
  <c r="A3" i="67" a="1"/>
  <c r="A3" i="67" s="1"/>
  <c r="M47" i="36" a="1"/>
  <c r="M47" i="36" s="1"/>
  <c r="M48" i="36" a="1"/>
  <c r="M48" i="36" s="1"/>
  <c r="I48" i="36" s="1" a="1"/>
  <c r="I48" i="36" s="1"/>
  <c r="M49" i="36" a="1"/>
  <c r="M49" i="36" s="1"/>
  <c r="I49" i="36" s="1" a="1"/>
  <c r="I49" i="36" s="1"/>
  <c r="M50" i="36" a="1"/>
  <c r="M50" i="36" s="1"/>
  <c r="I50" i="36" s="1" a="1"/>
  <c r="I50" i="36" s="1"/>
  <c r="M51" i="36" a="1"/>
  <c r="M51" i="36" s="1"/>
  <c r="I51" i="36" s="1" a="1"/>
  <c r="I51" i="36" s="1"/>
  <c r="M52" i="36" a="1"/>
  <c r="M52" i="36" s="1"/>
  <c r="I52" i="36" s="1" a="1"/>
  <c r="I52" i="36" s="1"/>
  <c r="M53" i="36" a="1"/>
  <c r="M53" i="36" s="1"/>
  <c r="I53" i="36" s="1" a="1"/>
  <c r="I53" i="36" s="1"/>
  <c r="M54" i="36" a="1"/>
  <c r="M54" i="36" s="1"/>
  <c r="I54" i="36" s="1" a="1"/>
  <c r="I54" i="36" s="1"/>
  <c r="M55" i="36" a="1"/>
  <c r="M55" i="36" s="1"/>
  <c r="I55" i="36" s="1" a="1"/>
  <c r="I55" i="36" s="1"/>
  <c r="M56" i="36" a="1"/>
  <c r="M56" i="36" s="1"/>
  <c r="I56" i="36" s="1" a="1"/>
  <c r="I56" i="36" s="1"/>
  <c r="M57" i="36" a="1"/>
  <c r="M57" i="36" s="1"/>
  <c r="I57" i="36" s="1" a="1"/>
  <c r="I57" i="36" s="1"/>
  <c r="I170" i="36" a="1"/>
  <c r="I170" i="36" s="1"/>
  <c r="I171" i="36" a="1"/>
  <c r="I171" i="36" s="1"/>
  <c r="I172" i="36" a="1"/>
  <c r="I172" i="36" s="1"/>
  <c r="I173" i="36" a="1"/>
  <c r="I173" i="36" s="1"/>
  <c r="I174" i="36" a="1"/>
  <c r="I174" i="36" s="1"/>
  <c r="I175" i="36" a="1"/>
  <c r="I175" i="36" s="1"/>
  <c r="I176" i="36" a="1"/>
  <c r="I176" i="36" s="1"/>
  <c r="I177" i="36" a="1"/>
  <c r="I177" i="36" s="1"/>
  <c r="I178" i="36" a="1"/>
  <c r="I178" i="36" s="1"/>
  <c r="I179" i="36" a="1"/>
  <c r="I179" i="36" s="1"/>
  <c r="M135" i="36" a="1"/>
  <c r="M135" i="36" s="1"/>
  <c r="M138" i="36" a="1"/>
  <c r="M138" i="36" s="1"/>
  <c r="I138" i="36" s="1" a="1"/>
  <c r="I138" i="36" s="1"/>
  <c r="M141" i="36" a="1"/>
  <c r="M141" i="36" s="1"/>
  <c r="I141" i="36" s="1" a="1"/>
  <c r="I141" i="36" s="1"/>
  <c r="M143" i="36" a="1"/>
  <c r="M143" i="36" s="1"/>
  <c r="I143" i="36" s="1" a="1"/>
  <c r="I143" i="36" s="1"/>
  <c r="I275" i="36" a="1"/>
  <c r="I275" i="36" s="1"/>
  <c r="I307" i="36" a="1"/>
  <c r="I307" i="36" s="1"/>
  <c r="A8" i="67" a="1"/>
  <c r="A8" i="67" s="1"/>
  <c r="M7" i="36" a="1"/>
  <c r="M7" i="36" s="1"/>
  <c r="I7" i="36" s="1" a="1"/>
  <c r="I7" i="36" s="1"/>
  <c r="M32" i="36" a="1"/>
  <c r="M32" i="36" s="1"/>
  <c r="I32" i="36" s="1" a="1"/>
  <c r="I32" i="36" s="1"/>
  <c r="M136" i="36" a="1"/>
  <c r="M136" i="36" s="1"/>
  <c r="I136" i="36" s="1" a="1"/>
  <c r="I136" i="36" s="1"/>
  <c r="M140" i="36" a="1"/>
  <c r="M140" i="36" s="1"/>
  <c r="I140" i="36" s="1" a="1"/>
  <c r="I140" i="36" s="1"/>
  <c r="M144" i="36" a="1"/>
  <c r="M144" i="36" s="1"/>
  <c r="I144" i="36" s="1" a="1"/>
  <c r="I144" i="36" s="1"/>
  <c r="I279" i="36" a="1"/>
  <c r="I279" i="36" s="1"/>
  <c r="M29" i="36" a="1"/>
  <c r="M29" i="36" s="1"/>
  <c r="I29" i="36" s="1" a="1"/>
  <c r="I29" i="36" s="1"/>
  <c r="A10" i="67" a="1"/>
  <c r="A10" i="67" s="1"/>
  <c r="M137" i="36" a="1"/>
  <c r="M137" i="36" s="1"/>
  <c r="I137" i="36" s="1" a="1"/>
  <c r="I137" i="36" s="1"/>
  <c r="M139" i="36" a="1"/>
  <c r="M139" i="36" s="1"/>
  <c r="I139" i="36" s="1" a="1"/>
  <c r="I139" i="36" s="1"/>
  <c r="M142" i="36" a="1"/>
  <c r="M142" i="36" s="1"/>
  <c r="I142" i="36" s="1" a="1"/>
  <c r="I142" i="36" s="1"/>
  <c r="M145" i="36" a="1"/>
  <c r="M145" i="36" s="1"/>
  <c r="I145" i="36" s="1" a="1"/>
  <c r="I145" i="36" s="1"/>
  <c r="I278" i="36" a="1"/>
  <c r="I278" i="36" s="1"/>
  <c r="I268" i="36" a="1"/>
  <c r="I268" i="36" s="1"/>
  <c r="I264" i="36" a="1"/>
  <c r="I264" i="36" s="1"/>
  <c r="I261" i="36" a="1"/>
  <c r="I261" i="36" s="1"/>
  <c r="I285" i="36" a="1"/>
  <c r="I285" i="36" s="1"/>
  <c r="I305" i="36" a="1"/>
  <c r="I305" i="36" s="1"/>
  <c r="I304" i="36" a="1"/>
  <c r="I304" i="36" s="1"/>
  <c r="I288" i="36" a="1"/>
  <c r="I288" i="36" s="1"/>
  <c r="I272" i="36" a="1"/>
  <c r="I272" i="36" s="1"/>
  <c r="I294" i="36" a="1"/>
  <c r="I294" i="36" s="1"/>
  <c r="I257" i="36" a="1"/>
  <c r="I257" i="36" s="1"/>
  <c r="I270" i="36" a="1"/>
  <c r="I270" i="36" s="1"/>
  <c r="I301" i="36" a="1"/>
  <c r="I301" i="36" s="1"/>
  <c r="I276" i="36" a="1"/>
  <c r="I276" i="36" s="1"/>
  <c r="I298" i="36" a="1"/>
  <c r="I298" i="36" s="1"/>
  <c r="I267" i="36" a="1"/>
  <c r="I267" i="36" s="1"/>
  <c r="I311" i="36" a="1"/>
  <c r="I311" i="36" s="1"/>
  <c r="I312" i="36" a="1"/>
  <c r="I312" i="36" s="1"/>
  <c r="I263" i="36" a="1"/>
  <c r="I263" i="36" s="1"/>
  <c r="I265" i="36" a="1"/>
  <c r="I265" i="36" s="1"/>
  <c r="I289" i="36" a="1"/>
  <c r="I289" i="36" s="1"/>
  <c r="I309" i="36" a="1"/>
  <c r="I309" i="36" s="1"/>
  <c r="I292" i="36" a="1"/>
  <c r="I292" i="36" s="1"/>
  <c r="I303" i="36" a="1"/>
  <c r="I303" i="36" s="1"/>
  <c r="I287" i="36" a="1"/>
  <c r="I287" i="36" s="1"/>
  <c r="I260" i="36" a="1"/>
  <c r="I260" i="36" s="1"/>
  <c r="I284" i="36" a="1"/>
  <c r="I284" i="36" s="1"/>
  <c r="I306" i="36" a="1"/>
  <c r="I306" i="36" s="1"/>
  <c r="I293" i="36" a="1"/>
  <c r="I293" i="36" s="1"/>
  <c r="I296" i="36" a="1"/>
  <c r="I296" i="36" s="1"/>
  <c r="I282" i="36" a="1"/>
  <c r="I282" i="36" s="1"/>
  <c r="I310" i="36" a="1"/>
  <c r="I310" i="36" s="1"/>
  <c r="I290" i="36" a="1"/>
  <c r="I290" i="36" s="1"/>
  <c r="I266" i="36" a="1"/>
  <c r="I266" i="36" s="1"/>
  <c r="I262" i="36" a="1"/>
  <c r="I262" i="36" s="1"/>
  <c r="I273" i="36" a="1"/>
  <c r="I273" i="36" s="1"/>
  <c r="I297" i="36" a="1"/>
  <c r="I297" i="36" s="1"/>
  <c r="I286" i="36" a="1"/>
  <c r="I286" i="36" s="1"/>
  <c r="I259" i="36" a="1"/>
  <c r="I259" i="36" s="1"/>
  <c r="I299" i="36" a="1"/>
  <c r="I299" i="36" s="1"/>
  <c r="I283" i="36" a="1"/>
  <c r="I283" i="36" s="1"/>
  <c r="I274" i="36" a="1"/>
  <c r="I274" i="36" s="1"/>
  <c r="I277" i="36" a="1"/>
  <c r="I277" i="36" s="1"/>
  <c r="I281" i="36" a="1"/>
  <c r="I281" i="36" s="1"/>
  <c r="I308" i="36" a="1"/>
  <c r="I308" i="36" s="1"/>
  <c r="C55" i="69" a="1"/>
  <c r="C55" i="69" s="1"/>
  <c r="C13" i="69" a="1"/>
  <c r="C13" i="69" s="1"/>
  <c r="C80" i="69" a="1"/>
  <c r="C80" i="69" s="1"/>
  <c r="C52" i="69" a="1"/>
  <c r="C52" i="69" s="1"/>
  <c r="C53" i="69" a="1"/>
  <c r="C53" i="69" s="1"/>
  <c r="C11" i="69" a="1"/>
  <c r="C11" i="69" s="1"/>
  <c r="C67" i="69" a="1"/>
  <c r="C67" i="69" s="1"/>
  <c r="C81" i="69" a="1"/>
  <c r="C81" i="69" s="1"/>
  <c r="C34" i="69" a="1"/>
  <c r="C34" i="69" s="1"/>
  <c r="C35" i="69" a="1"/>
  <c r="C35" i="69" s="1"/>
  <c r="C79" i="69" a="1"/>
  <c r="C79" i="69" s="1"/>
  <c r="C26" i="69" a="1"/>
  <c r="C26" i="69" s="1"/>
  <c r="C32" i="69" a="1"/>
  <c r="C32" i="69" s="1"/>
  <c r="C69" i="69" a="1"/>
  <c r="C69" i="69" s="1"/>
  <c r="C86" i="69" a="1"/>
  <c r="C86" i="69" s="1"/>
  <c r="C51" i="69" a="1"/>
  <c r="C51" i="69" s="1"/>
  <c r="C9" i="69" a="1"/>
  <c r="C9" i="69" s="1"/>
  <c r="C54" i="69" a="1"/>
  <c r="C54" i="69" s="1"/>
  <c r="C31" i="69" a="1"/>
  <c r="C31" i="69" s="1"/>
  <c r="C62" i="69" a="1"/>
  <c r="C62" i="69" s="1"/>
  <c r="C15" i="69" a="1"/>
  <c r="C15" i="69" s="1"/>
  <c r="C88" i="69" a="1"/>
  <c r="C88" i="69" s="1"/>
  <c r="C65" i="69" a="1"/>
  <c r="C65" i="69" s="1"/>
  <c r="C8" i="69" a="1"/>
  <c r="C8" i="69" s="1"/>
  <c r="C89" i="69" a="1"/>
  <c r="C89" i="69" s="1"/>
  <c r="C82" i="69" a="1"/>
  <c r="C82" i="69" s="1"/>
  <c r="C87" i="69" a="1"/>
  <c r="C87" i="69" s="1"/>
  <c r="C19" i="69" a="1"/>
  <c r="C19" i="69" s="1"/>
  <c r="C27" i="69" a="1"/>
  <c r="C27" i="69" s="1"/>
  <c r="C44" i="69" a="1"/>
  <c r="C44" i="69" s="1"/>
  <c r="C29" i="69" a="1"/>
  <c r="C29" i="69" s="1"/>
  <c r="C85" i="69" a="1"/>
  <c r="C85" i="69" s="1"/>
  <c r="C43" i="69" a="1"/>
  <c r="C43" i="69" s="1"/>
  <c r="C61" i="69" a="1"/>
  <c r="C61" i="69" s="1"/>
  <c r="C12" i="69" a="1"/>
  <c r="C12" i="69" s="1"/>
  <c r="C63" i="69" a="1"/>
  <c r="C63" i="69" s="1"/>
  <c r="C91" i="69" a="1"/>
  <c r="C91" i="69" s="1"/>
  <c r="C49" i="69" a="1"/>
  <c r="C49" i="69" s="1"/>
  <c r="C7" i="69" a="1"/>
  <c r="C7" i="69" s="1"/>
  <c r="C90" i="69" a="1"/>
  <c r="C90" i="69" s="1"/>
  <c r="C46" i="69" a="1"/>
  <c r="C46" i="69" s="1"/>
  <c r="C18" i="69" a="1"/>
  <c r="C18" i="69" s="1"/>
  <c r="C16" i="69" a="1"/>
  <c r="C16" i="69" s="1"/>
  <c r="C68" i="69" a="1"/>
  <c r="C68" i="69" s="1"/>
  <c r="C66" i="69" a="1"/>
  <c r="C66" i="69" s="1"/>
  <c r="C72" i="69" a="1"/>
  <c r="C72" i="69" s="1"/>
  <c r="C30" i="69" a="1"/>
  <c r="C30" i="69" s="1"/>
  <c r="C14" i="69" a="1"/>
  <c r="C14" i="69" s="1"/>
  <c r="C37" i="69" a="1"/>
  <c r="C37" i="69" s="1"/>
  <c r="C50" i="69" a="1"/>
  <c r="C50" i="69" s="1"/>
  <c r="C83" i="69" a="1"/>
  <c r="C83" i="69" s="1"/>
  <c r="C36" i="69" a="1"/>
  <c r="C36" i="69" s="1"/>
  <c r="C48" i="69" a="1"/>
  <c r="C48" i="69" s="1"/>
  <c r="C47" i="69" a="1"/>
  <c r="C47" i="69" s="1"/>
  <c r="C33" i="69" a="1"/>
  <c r="C33" i="69" s="1"/>
  <c r="C10" i="69" a="1"/>
  <c r="C10" i="69" s="1"/>
  <c r="C45" i="69" a="1"/>
  <c r="C45" i="69" s="1"/>
  <c r="C25" i="69" a="1"/>
  <c r="C25" i="69" s="1"/>
  <c r="C84" i="69" a="1"/>
  <c r="C84" i="69" s="1"/>
  <c r="C64" i="69" a="1"/>
  <c r="C64" i="69" s="1"/>
  <c r="C17" i="69" a="1"/>
  <c r="C17" i="69" s="1"/>
  <c r="C73" i="69" a="1"/>
  <c r="C73" i="69" s="1"/>
  <c r="C70" i="69" a="1"/>
  <c r="C70" i="69" s="1"/>
  <c r="C28" i="69" a="1"/>
  <c r="C28" i="69" s="1"/>
  <c r="C71" i="69" a="1"/>
  <c r="C71" i="69" s="1"/>
  <c r="AK2" i="32"/>
  <c r="AJ2" i="32"/>
  <c r="BT2" i="32"/>
  <c r="BR2" i="32"/>
  <c r="BU2" i="32"/>
  <c r="G2" i="36" l="1" a="1"/>
  <c r="G2" i="36" s="1"/>
  <c r="E19" i="69" s="1" a="1"/>
  <c r="E19" i="69" s="1"/>
  <c r="F19" i="69" s="1" a="1"/>
  <c r="F19" i="69" s="1"/>
  <c r="G19" i="69" s="1"/>
  <c r="A8" i="12"/>
  <c r="A10" i="12"/>
  <c r="A12" i="12"/>
  <c r="I4" i="36" a="1"/>
  <c r="I4" i="36" s="1"/>
  <c r="H257" i="36"/>
  <c r="H146" i="36"/>
  <c r="G146" i="36"/>
  <c r="G257" i="36"/>
  <c r="B51" i="12" a="1"/>
  <c r="B51" i="12" s="1"/>
  <c r="L51" i="12" s="1"/>
  <c r="H246" i="36"/>
  <c r="H80" i="36"/>
  <c r="H3" i="36"/>
  <c r="H113" i="36"/>
  <c r="H169" i="36"/>
  <c r="H58" i="36"/>
  <c r="H14" i="36"/>
  <c r="H25" i="36"/>
  <c r="H235" i="36"/>
  <c r="H224" i="36"/>
  <c r="H47" i="36"/>
  <c r="H291" i="36"/>
  <c r="H102" i="36"/>
  <c r="H147" i="36"/>
  <c r="H158" i="36"/>
  <c r="H36" i="36"/>
  <c r="H69" i="36"/>
  <c r="H124" i="36"/>
  <c r="H191" i="36"/>
  <c r="H91" i="36"/>
  <c r="H280" i="36"/>
  <c r="H180" i="36"/>
  <c r="H269" i="36"/>
  <c r="H213" i="36"/>
  <c r="H302" i="36"/>
  <c r="H135" i="36"/>
  <c r="H202" i="36"/>
  <c r="H258" i="36"/>
  <c r="I2" i="36" l="1" a="1"/>
  <c r="I2" i="36" s="1"/>
  <c r="E8" i="69" a="1"/>
  <c r="E8" i="69" s="1"/>
  <c r="F8" i="69" s="1" a="1"/>
  <c r="F8" i="69" s="1"/>
  <c r="G8" i="69" s="1"/>
  <c r="E11" i="69" a="1"/>
  <c r="E11" i="69" s="1"/>
  <c r="F11" i="69" s="1" a="1"/>
  <c r="F11" i="69" s="1"/>
  <c r="G11" i="69" s="1"/>
  <c r="E10" i="69" a="1"/>
  <c r="E10" i="69" s="1"/>
  <c r="F10" i="69" s="1" a="1"/>
  <c r="F10" i="69" s="1"/>
  <c r="G10" i="69" s="1"/>
  <c r="E13" i="69" a="1"/>
  <c r="E13" i="69" s="1"/>
  <c r="F13" i="69" s="1" a="1"/>
  <c r="F13" i="69" s="1"/>
  <c r="G13" i="69" s="1"/>
  <c r="E16" i="69" a="1"/>
  <c r="E16" i="69" s="1"/>
  <c r="F16" i="69" s="1" a="1"/>
  <c r="F16" i="69" s="1"/>
  <c r="G16" i="69" s="1"/>
  <c r="E12" i="69" a="1"/>
  <c r="E12" i="69" s="1"/>
  <c r="F12" i="69" s="1" a="1"/>
  <c r="F12" i="69" s="1"/>
  <c r="G12" i="69" s="1"/>
  <c r="E17" i="69" a="1"/>
  <c r="E17" i="69" s="1"/>
  <c r="F17" i="69" s="1" a="1"/>
  <c r="F17" i="69" s="1"/>
  <c r="G17" i="69" s="1"/>
  <c r="E18" i="69" a="1"/>
  <c r="E18" i="69" s="1"/>
  <c r="F18" i="69" s="1" a="1"/>
  <c r="F18" i="69" s="1"/>
  <c r="G18" i="69" s="1"/>
  <c r="E14" i="69" a="1"/>
  <c r="E14" i="69" s="1"/>
  <c r="F14" i="69" s="1" a="1"/>
  <c r="F14" i="69" s="1"/>
  <c r="G14" i="69" s="1"/>
  <c r="E15" i="69" a="1"/>
  <c r="E15" i="69" s="1"/>
  <c r="F15" i="69" s="1" a="1"/>
  <c r="F15" i="69" s="1"/>
  <c r="G15" i="69" s="1"/>
  <c r="F213" i="36"/>
  <c r="F91" i="36"/>
  <c r="F36" i="36"/>
  <c r="F25" i="36"/>
  <c r="F113" i="36"/>
  <c r="F202" i="36"/>
  <c r="F191" i="36"/>
  <c r="F158" i="36"/>
  <c r="F47" i="36"/>
  <c r="F14" i="36"/>
  <c r="F3" i="36"/>
  <c r="F135" i="36"/>
  <c r="F180" i="36"/>
  <c r="F124" i="36"/>
  <c r="F147" i="36"/>
  <c r="F224" i="36"/>
  <c r="F58" i="36"/>
  <c r="F80" i="36"/>
  <c r="F69" i="36"/>
  <c r="F102" i="36"/>
  <c r="F235" i="36"/>
  <c r="F169" i="36"/>
  <c r="F246" i="36"/>
  <c r="K7" i="69" a="1"/>
  <c r="K7" i="69" s="1"/>
  <c r="K8" i="69" a="1"/>
  <c r="K8" i="69" s="1"/>
  <c r="L8" i="69" s="1" a="1"/>
  <c r="L8" i="69" s="1"/>
  <c r="M8" i="69" s="1"/>
  <c r="K13" i="69" a="1"/>
  <c r="K13" i="69" s="1"/>
  <c r="L13" i="69" s="1" a="1"/>
  <c r="L13" i="69" s="1"/>
  <c r="M13" i="69" s="1"/>
  <c r="K11" i="69" a="1"/>
  <c r="K11" i="69" s="1"/>
  <c r="L11" i="69" s="1" a="1"/>
  <c r="L11" i="69" s="1"/>
  <c r="M11" i="69" s="1"/>
  <c r="K16" i="69" a="1"/>
  <c r="K16" i="69" s="1"/>
  <c r="L16" i="69" s="1" a="1"/>
  <c r="L16" i="69" s="1"/>
  <c r="M16" i="69" s="1"/>
  <c r="K15" i="69" a="1"/>
  <c r="K15" i="69" s="1"/>
  <c r="L15" i="69" s="1" a="1"/>
  <c r="L15" i="69" s="1"/>
  <c r="M15" i="69" s="1"/>
  <c r="K12" i="69" a="1"/>
  <c r="K12" i="69" s="1"/>
  <c r="L12" i="69" s="1" a="1"/>
  <c r="L12" i="69" s="1"/>
  <c r="M12" i="69" s="1"/>
  <c r="K14" i="69" a="1"/>
  <c r="K14" i="69" s="1"/>
  <c r="L14" i="69" s="1" a="1"/>
  <c r="L14" i="69" s="1"/>
  <c r="M14" i="69" s="1"/>
  <c r="K9" i="69" a="1"/>
  <c r="K9" i="69" s="1"/>
  <c r="L9" i="69" s="1" a="1"/>
  <c r="L9" i="69" s="1"/>
  <c r="M9" i="69" s="1"/>
  <c r="K10" i="69" a="1"/>
  <c r="K10" i="69" s="1"/>
  <c r="L10" i="69" s="1" a="1"/>
  <c r="L10" i="69" s="1"/>
  <c r="M10" i="69" s="1"/>
  <c r="K50" i="12" a="1"/>
  <c r="K50" i="12" s="1"/>
  <c r="K23" i="12" a="1"/>
  <c r="K23" i="12" s="1"/>
  <c r="K62" i="12" a="1"/>
  <c r="K62" i="12" s="1"/>
  <c r="G7" i="70"/>
  <c r="G9" i="70"/>
  <c r="G3" i="70"/>
  <c r="G10" i="70"/>
  <c r="G5" i="70"/>
  <c r="G16" i="70"/>
  <c r="G12" i="70"/>
  <c r="G8" i="70"/>
  <c r="G14" i="70"/>
  <c r="G6" i="70"/>
  <c r="G13" i="70"/>
  <c r="G4" i="70"/>
  <c r="G15" i="70"/>
  <c r="G11" i="70"/>
  <c r="L7" i="69" l="1" a="1"/>
  <c r="L7" i="69" s="1"/>
  <c r="K17" i="69"/>
  <c r="B7" i="105"/>
  <c r="K38" i="12" a="1"/>
  <c r="K38" i="12" s="1"/>
  <c r="K74" i="12" a="1"/>
  <c r="K74" i="12" s="1"/>
  <c r="K86" i="12" a="1"/>
  <c r="K86" i="12" s="1"/>
  <c r="K98" i="12" a="1"/>
  <c r="K98" i="12" s="1"/>
  <c r="K110" i="12" a="1"/>
  <c r="K110" i="12" s="1"/>
  <c r="K122" i="12" a="1"/>
  <c r="K122" i="12" s="1"/>
  <c r="K134" i="12" a="1"/>
  <c r="K134" i="12" s="1"/>
  <c r="K146" i="12" a="1"/>
  <c r="K146" i="12" s="1"/>
  <c r="K158" i="12" a="1"/>
  <c r="K158" i="12" s="1"/>
  <c r="K170" i="12" a="1"/>
  <c r="K170" i="12" s="1"/>
  <c r="L17" i="69" l="1"/>
  <c r="M7" i="69"/>
  <c r="C40" i="2"/>
  <c r="C39" i="2"/>
  <c r="C35" i="2"/>
  <c r="G33" i="2"/>
  <c r="G32" i="2"/>
  <c r="C31" i="2"/>
  <c r="C30" i="2"/>
  <c r="C23" i="2"/>
  <c r="C22" i="2"/>
  <c r="C24" i="2"/>
  <c r="C25" i="2"/>
  <c r="C26" i="2"/>
  <c r="C27" i="2"/>
  <c r="C28" i="2"/>
  <c r="C29" i="2"/>
  <c r="F6" i="68"/>
  <c r="F7" i="68"/>
  <c r="F8" i="68"/>
  <c r="F9" i="68"/>
  <c r="F10" i="68"/>
  <c r="F11" i="68"/>
  <c r="F12" i="68"/>
  <c r="F13" i="68"/>
  <c r="F14" i="68"/>
  <c r="E6" i="68"/>
  <c r="E7" i="68"/>
  <c r="E8" i="68"/>
  <c r="E9" i="68"/>
  <c r="E10" i="68"/>
  <c r="E11" i="68"/>
  <c r="E12" i="68"/>
  <c r="E13" i="68"/>
  <c r="E14" i="68"/>
  <c r="E5" i="68"/>
  <c r="F49" i="2" l="1"/>
  <c r="G49" i="2"/>
  <c r="F32" i="2"/>
  <c r="F33" i="2"/>
  <c r="C32" i="2"/>
  <c r="C33" i="2"/>
  <c r="A11" i="2"/>
  <c r="G98" i="1" l="1"/>
  <c r="G95" i="1"/>
  <c r="G92" i="1" l="1"/>
  <c r="D38" i="70" l="1"/>
  <c r="D37" i="70"/>
  <c r="D70" i="70"/>
  <c r="D69" i="70"/>
  <c r="D54" i="70"/>
  <c r="D53" i="70"/>
  <c r="G104" i="1"/>
  <c r="C38" i="70" l="1"/>
  <c r="C54" i="70"/>
  <c r="C22" i="70"/>
  <c r="C70" i="70"/>
  <c r="C6" i="70"/>
  <c r="AS2" i="32"/>
  <c r="G38" i="2"/>
  <c r="G37" i="2"/>
  <c r="G36" i="2"/>
  <c r="G17" i="2"/>
  <c r="G18" i="2"/>
  <c r="G19" i="2"/>
  <c r="C38" i="2" l="1"/>
  <c r="C36" i="2"/>
  <c r="C37" i="2"/>
  <c r="E6" i="70" l="1"/>
  <c r="AE2" i="32"/>
  <c r="E54" i="70" l="1"/>
  <c r="E22" i="70"/>
  <c r="E38" i="70"/>
  <c r="G16" i="1"/>
  <c r="AD4" i="32" l="1"/>
  <c r="AD6" i="32"/>
  <c r="AD7" i="32"/>
  <c r="AD3" i="32"/>
  <c r="AD5" i="32"/>
  <c r="AF6" i="32"/>
  <c r="AF4" i="32"/>
  <c r="AF5" i="32"/>
  <c r="AF7" i="32"/>
  <c r="AF3" i="32"/>
  <c r="AD2" i="32"/>
  <c r="AF2" i="32"/>
  <c r="F24" i="12" l="1" a="1"/>
  <c r="F24" i="12" s="1"/>
  <c r="G24" i="12" a="1"/>
  <c r="G24" i="12" s="1"/>
  <c r="H24" i="12" a="1"/>
  <c r="H24" i="12" s="1"/>
  <c r="L24" i="12" s="1"/>
  <c r="F25" i="12" a="1"/>
  <c r="F25" i="12" s="1"/>
  <c r="G25" i="12" a="1"/>
  <c r="G25" i="12" s="1"/>
  <c r="H25" i="12" a="1"/>
  <c r="H25" i="12" s="1"/>
  <c r="L25" i="12" s="1"/>
  <c r="F26" i="12" a="1"/>
  <c r="F26" i="12" s="1"/>
  <c r="G26" i="12" a="1"/>
  <c r="G26" i="12" s="1"/>
  <c r="H26" i="12" a="1"/>
  <c r="H26" i="12" s="1"/>
  <c r="L26" i="12" s="1"/>
  <c r="F27" i="12" a="1"/>
  <c r="F27" i="12" s="1"/>
  <c r="G27" i="12" a="1"/>
  <c r="G27" i="12" s="1"/>
  <c r="H27" i="12" a="1"/>
  <c r="H27" i="12" s="1"/>
  <c r="L27" i="12" s="1"/>
  <c r="F28" i="12" a="1"/>
  <c r="F28" i="12" s="1"/>
  <c r="G28" i="12" a="1"/>
  <c r="G28" i="12" s="1"/>
  <c r="H28" i="12" a="1"/>
  <c r="H28" i="12" s="1"/>
  <c r="L28" i="12" s="1"/>
  <c r="F29" i="12" a="1"/>
  <c r="F29" i="12" s="1"/>
  <c r="G29" i="12" a="1"/>
  <c r="G29" i="12" s="1"/>
  <c r="H29" i="12" a="1"/>
  <c r="H29" i="12" s="1"/>
  <c r="L29" i="12" s="1"/>
  <c r="F37" i="12" a="1"/>
  <c r="F37" i="12" s="1"/>
  <c r="G37" i="12" a="1"/>
  <c r="G37" i="12" s="1"/>
  <c r="H37" i="12" a="1"/>
  <c r="H37" i="12" s="1"/>
  <c r="L37" i="12" s="1"/>
  <c r="F49" i="12" a="1"/>
  <c r="F49" i="12" s="1"/>
  <c r="G49" i="12" a="1"/>
  <c r="G49" i="12" s="1"/>
  <c r="H49" i="12" a="1"/>
  <c r="H49" i="12" s="1"/>
  <c r="L49" i="12" s="1"/>
  <c r="F61" i="12" a="1"/>
  <c r="F61" i="12" s="1"/>
  <c r="G61" i="12" a="1"/>
  <c r="G61" i="12" s="1"/>
  <c r="H61" i="12" a="1"/>
  <c r="H61" i="12" s="1"/>
  <c r="L61" i="12" s="1"/>
  <c r="F63" i="12" a="1"/>
  <c r="F63" i="12" s="1"/>
  <c r="G63" i="12" a="1"/>
  <c r="G63" i="12" s="1"/>
  <c r="H63" i="12" a="1"/>
  <c r="H63" i="12" s="1"/>
  <c r="L63" i="12" s="1"/>
  <c r="F64" i="12" a="1"/>
  <c r="F64" i="12" s="1"/>
  <c r="G64" i="12" a="1"/>
  <c r="G64" i="12" s="1"/>
  <c r="H64" i="12" a="1"/>
  <c r="H64" i="12" s="1"/>
  <c r="L64" i="12" s="1"/>
  <c r="F65" i="12" a="1"/>
  <c r="F65" i="12" s="1"/>
  <c r="G65" i="12" a="1"/>
  <c r="G65" i="12" s="1"/>
  <c r="H65" i="12" a="1"/>
  <c r="H65" i="12" s="1"/>
  <c r="L65" i="12" s="1"/>
  <c r="F66" i="12" a="1"/>
  <c r="F66" i="12" s="1"/>
  <c r="G66" i="12" a="1"/>
  <c r="G66" i="12" s="1"/>
  <c r="H66" i="12" a="1"/>
  <c r="H66" i="12" s="1"/>
  <c r="L66" i="12" s="1"/>
  <c r="F67" i="12" a="1"/>
  <c r="F67" i="12" s="1"/>
  <c r="G67" i="12" a="1"/>
  <c r="G67" i="12" s="1"/>
  <c r="H67" i="12" a="1"/>
  <c r="H67" i="12" s="1"/>
  <c r="L67" i="12" s="1"/>
  <c r="F68" i="12" a="1"/>
  <c r="F68" i="12" s="1"/>
  <c r="G68" i="12" a="1"/>
  <c r="G68" i="12" s="1"/>
  <c r="H68" i="12" a="1"/>
  <c r="H68" i="12" s="1"/>
  <c r="L68" i="12" s="1"/>
  <c r="F69" i="12" a="1"/>
  <c r="F69" i="12" s="1"/>
  <c r="G69" i="12" a="1"/>
  <c r="G69" i="12" s="1"/>
  <c r="H69" i="12" a="1"/>
  <c r="H69" i="12" s="1"/>
  <c r="L69" i="12" s="1"/>
  <c r="F70" i="12" a="1"/>
  <c r="F70" i="12" s="1"/>
  <c r="G70" i="12" a="1"/>
  <c r="G70" i="12" s="1"/>
  <c r="H70" i="12" a="1"/>
  <c r="H70" i="12" s="1"/>
  <c r="L70" i="12" s="1"/>
  <c r="F71" i="12" a="1"/>
  <c r="F71" i="12" s="1"/>
  <c r="G71" i="12" a="1"/>
  <c r="G71" i="12" s="1"/>
  <c r="H71" i="12" a="1"/>
  <c r="H71" i="12" s="1"/>
  <c r="L71" i="12" s="1"/>
  <c r="F72" i="12" a="1"/>
  <c r="F72" i="12" s="1"/>
  <c r="G72" i="12" a="1"/>
  <c r="G72" i="12" s="1"/>
  <c r="H72" i="12" a="1"/>
  <c r="H72" i="12" s="1"/>
  <c r="L72" i="12" s="1"/>
  <c r="F73" i="12" a="1"/>
  <c r="F73" i="12" s="1"/>
  <c r="G73" i="12" a="1"/>
  <c r="G73" i="12" s="1"/>
  <c r="H73" i="12" a="1"/>
  <c r="H73" i="12" s="1"/>
  <c r="L73" i="12" s="1"/>
  <c r="F75" i="12" a="1"/>
  <c r="F75" i="12" s="1"/>
  <c r="G75" i="12" a="1"/>
  <c r="G75" i="12" s="1"/>
  <c r="H75" i="12" a="1"/>
  <c r="H75" i="12" s="1"/>
  <c r="L75" i="12" s="1"/>
  <c r="F76" i="12" a="1"/>
  <c r="F76" i="12" s="1"/>
  <c r="G76" i="12" a="1"/>
  <c r="G76" i="12" s="1"/>
  <c r="H76" i="12" a="1"/>
  <c r="H76" i="12" s="1"/>
  <c r="L76" i="12" s="1"/>
  <c r="F77" i="12" a="1"/>
  <c r="F77" i="12" s="1"/>
  <c r="G77" i="12" a="1"/>
  <c r="G77" i="12" s="1"/>
  <c r="H77" i="12" a="1"/>
  <c r="H77" i="12" s="1"/>
  <c r="L77" i="12" s="1"/>
  <c r="F78" i="12" a="1"/>
  <c r="F78" i="12" s="1"/>
  <c r="G78" i="12" a="1"/>
  <c r="G78" i="12" s="1"/>
  <c r="H78" i="12" a="1"/>
  <c r="H78" i="12" s="1"/>
  <c r="L78" i="12" s="1"/>
  <c r="F79" i="12" a="1"/>
  <c r="F79" i="12" s="1"/>
  <c r="G79" i="12" a="1"/>
  <c r="G79" i="12" s="1"/>
  <c r="H79" i="12" a="1"/>
  <c r="H79" i="12" s="1"/>
  <c r="L79" i="12" s="1"/>
  <c r="F80" i="12" a="1"/>
  <c r="F80" i="12" s="1"/>
  <c r="G80" i="12" a="1"/>
  <c r="G80" i="12" s="1"/>
  <c r="H80" i="12" a="1"/>
  <c r="H80" i="12" s="1"/>
  <c r="L80" i="12" s="1"/>
  <c r="F81" i="12" a="1"/>
  <c r="F81" i="12" s="1"/>
  <c r="G81" i="12" a="1"/>
  <c r="G81" i="12" s="1"/>
  <c r="H81" i="12" a="1"/>
  <c r="H81" i="12" s="1"/>
  <c r="L81" i="12" s="1"/>
  <c r="F82" i="12" a="1"/>
  <c r="F82" i="12" s="1"/>
  <c r="G82" i="12" a="1"/>
  <c r="G82" i="12" s="1"/>
  <c r="H82" i="12" a="1"/>
  <c r="H82" i="12" s="1"/>
  <c r="L82" i="12" s="1"/>
  <c r="F83" i="12" a="1"/>
  <c r="F83" i="12" s="1"/>
  <c r="G83" i="12" a="1"/>
  <c r="G83" i="12" s="1"/>
  <c r="H83" i="12" a="1"/>
  <c r="H83" i="12" s="1"/>
  <c r="L83" i="12" s="1"/>
  <c r="F84" i="12" a="1"/>
  <c r="F84" i="12" s="1"/>
  <c r="G84" i="12" a="1"/>
  <c r="G84" i="12" s="1"/>
  <c r="H84" i="12" a="1"/>
  <c r="H84" i="12" s="1"/>
  <c r="L84" i="12" s="1"/>
  <c r="F85" i="12" a="1"/>
  <c r="F85" i="12" s="1"/>
  <c r="G85" i="12" a="1"/>
  <c r="G85" i="12" s="1"/>
  <c r="H85" i="12" a="1"/>
  <c r="H85" i="12" s="1"/>
  <c r="L85" i="12" s="1"/>
  <c r="F87" i="12" a="1"/>
  <c r="F87" i="12" s="1"/>
  <c r="G87" i="12" a="1"/>
  <c r="G87" i="12" s="1"/>
  <c r="H87" i="12" a="1"/>
  <c r="H87" i="12" s="1"/>
  <c r="L87" i="12" s="1"/>
  <c r="F88" i="12" a="1"/>
  <c r="F88" i="12" s="1"/>
  <c r="G88" i="12" a="1"/>
  <c r="G88" i="12" s="1"/>
  <c r="H88" i="12" a="1"/>
  <c r="H88" i="12" s="1"/>
  <c r="L88" i="12" s="1"/>
  <c r="F89" i="12" a="1"/>
  <c r="F89" i="12" s="1"/>
  <c r="G89" i="12" a="1"/>
  <c r="G89" i="12" s="1"/>
  <c r="H89" i="12" a="1"/>
  <c r="H89" i="12" s="1"/>
  <c r="L89" i="12" s="1"/>
  <c r="F90" i="12" a="1"/>
  <c r="F90" i="12" s="1"/>
  <c r="G90" i="12" a="1"/>
  <c r="G90" i="12" s="1"/>
  <c r="H90" i="12" a="1"/>
  <c r="H90" i="12" s="1"/>
  <c r="L90" i="12" s="1"/>
  <c r="F91" i="12" a="1"/>
  <c r="F91" i="12" s="1"/>
  <c r="G91" i="12" a="1"/>
  <c r="G91" i="12" s="1"/>
  <c r="H91" i="12" a="1"/>
  <c r="H91" i="12" s="1"/>
  <c r="L91" i="12" s="1"/>
  <c r="F92" i="12" a="1"/>
  <c r="F92" i="12" s="1"/>
  <c r="G92" i="12" a="1"/>
  <c r="G92" i="12" s="1"/>
  <c r="H92" i="12" a="1"/>
  <c r="H92" i="12" s="1"/>
  <c r="L92" i="12" s="1"/>
  <c r="F93" i="12" a="1"/>
  <c r="F93" i="12" s="1"/>
  <c r="G93" i="12" a="1"/>
  <c r="G93" i="12" s="1"/>
  <c r="H93" i="12" a="1"/>
  <c r="H93" i="12" s="1"/>
  <c r="L93" i="12" s="1"/>
  <c r="F94" i="12" a="1"/>
  <c r="F94" i="12" s="1"/>
  <c r="G94" i="12" a="1"/>
  <c r="G94" i="12" s="1"/>
  <c r="H94" i="12" a="1"/>
  <c r="H94" i="12" s="1"/>
  <c r="L94" i="12" s="1"/>
  <c r="F95" i="12" a="1"/>
  <c r="F95" i="12" s="1"/>
  <c r="G95" i="12" a="1"/>
  <c r="G95" i="12" s="1"/>
  <c r="H95" i="12" a="1"/>
  <c r="H95" i="12" s="1"/>
  <c r="L95" i="12" s="1"/>
  <c r="F96" i="12" a="1"/>
  <c r="F96" i="12" s="1"/>
  <c r="G96" i="12" a="1"/>
  <c r="G96" i="12" s="1"/>
  <c r="H96" i="12" a="1"/>
  <c r="H96" i="12" s="1"/>
  <c r="L96" i="12" s="1"/>
  <c r="F97" i="12" a="1"/>
  <c r="F97" i="12" s="1"/>
  <c r="G97" i="12" a="1"/>
  <c r="G97" i="12" s="1"/>
  <c r="H97" i="12" a="1"/>
  <c r="H97" i="12" s="1"/>
  <c r="L97" i="12" s="1"/>
  <c r="F99" i="12" a="1"/>
  <c r="F99" i="12" s="1"/>
  <c r="G99" i="12" a="1"/>
  <c r="G99" i="12" s="1"/>
  <c r="H99" i="12" a="1"/>
  <c r="H99" i="12" s="1"/>
  <c r="L99" i="12" s="1"/>
  <c r="F100" i="12" a="1"/>
  <c r="F100" i="12" s="1"/>
  <c r="G100" i="12" a="1"/>
  <c r="G100" i="12" s="1"/>
  <c r="H100" i="12" a="1"/>
  <c r="H100" i="12" s="1"/>
  <c r="L100" i="12" s="1"/>
  <c r="F101" i="12" a="1"/>
  <c r="F101" i="12" s="1"/>
  <c r="G101" i="12" a="1"/>
  <c r="G101" i="12" s="1"/>
  <c r="H101" i="12" a="1"/>
  <c r="H101" i="12" s="1"/>
  <c r="L101" i="12" s="1"/>
  <c r="F102" i="12" a="1"/>
  <c r="F102" i="12" s="1"/>
  <c r="G102" i="12" a="1"/>
  <c r="G102" i="12" s="1"/>
  <c r="H102" i="12" a="1"/>
  <c r="H102" i="12" s="1"/>
  <c r="L102" i="12" s="1"/>
  <c r="F103" i="12" a="1"/>
  <c r="F103" i="12" s="1"/>
  <c r="G103" i="12" a="1"/>
  <c r="G103" i="12" s="1"/>
  <c r="H103" i="12" a="1"/>
  <c r="H103" i="12" s="1"/>
  <c r="L103" i="12" s="1"/>
  <c r="F104" i="12" a="1"/>
  <c r="F104" i="12" s="1"/>
  <c r="G104" i="12" a="1"/>
  <c r="G104" i="12" s="1"/>
  <c r="H104" i="12" a="1"/>
  <c r="H104" i="12" s="1"/>
  <c r="L104" i="12" s="1"/>
  <c r="F105" i="12" a="1"/>
  <c r="F105" i="12" s="1"/>
  <c r="G105" i="12" a="1"/>
  <c r="G105" i="12" s="1"/>
  <c r="H105" i="12" a="1"/>
  <c r="H105" i="12" s="1"/>
  <c r="L105" i="12" s="1"/>
  <c r="F106" i="12" a="1"/>
  <c r="F106" i="12" s="1"/>
  <c r="G106" i="12" a="1"/>
  <c r="G106" i="12" s="1"/>
  <c r="H106" i="12" a="1"/>
  <c r="H106" i="12" s="1"/>
  <c r="L106" i="12" s="1"/>
  <c r="F107" i="12" a="1"/>
  <c r="F107" i="12" s="1"/>
  <c r="G107" i="12" a="1"/>
  <c r="G107" i="12" s="1"/>
  <c r="H107" i="12" a="1"/>
  <c r="H107" i="12" s="1"/>
  <c r="L107" i="12" s="1"/>
  <c r="F108" i="12" a="1"/>
  <c r="F108" i="12" s="1"/>
  <c r="G108" i="12" a="1"/>
  <c r="G108" i="12" s="1"/>
  <c r="H108" i="12" a="1"/>
  <c r="H108" i="12" s="1"/>
  <c r="L108" i="12" s="1"/>
  <c r="F109" i="12" a="1"/>
  <c r="F109" i="12" s="1"/>
  <c r="G109" i="12" a="1"/>
  <c r="G109" i="12" s="1"/>
  <c r="H109" i="12" a="1"/>
  <c r="H109" i="12" s="1"/>
  <c r="L109" i="12" s="1"/>
  <c r="F111" i="12" a="1"/>
  <c r="F111" i="12" s="1"/>
  <c r="G111" i="12" a="1"/>
  <c r="G111" i="12" s="1"/>
  <c r="H111" i="12" a="1"/>
  <c r="H111" i="12" s="1"/>
  <c r="L111" i="12" s="1"/>
  <c r="F112" i="12" a="1"/>
  <c r="F112" i="12" s="1"/>
  <c r="G112" i="12" a="1"/>
  <c r="G112" i="12" s="1"/>
  <c r="H112" i="12" a="1"/>
  <c r="H112" i="12" s="1"/>
  <c r="L112" i="12" s="1"/>
  <c r="F113" i="12" a="1"/>
  <c r="F113" i="12" s="1"/>
  <c r="G113" i="12" a="1"/>
  <c r="G113" i="12" s="1"/>
  <c r="H113" i="12" a="1"/>
  <c r="H113" i="12" s="1"/>
  <c r="L113" i="12" s="1"/>
  <c r="F114" i="12" a="1"/>
  <c r="F114" i="12" s="1"/>
  <c r="G114" i="12" a="1"/>
  <c r="G114" i="12" s="1"/>
  <c r="H114" i="12" a="1"/>
  <c r="H114" i="12" s="1"/>
  <c r="L114" i="12" s="1"/>
  <c r="F115" i="12" a="1"/>
  <c r="F115" i="12" s="1"/>
  <c r="G115" i="12" a="1"/>
  <c r="G115" i="12" s="1"/>
  <c r="H115" i="12" a="1"/>
  <c r="H115" i="12" s="1"/>
  <c r="L115" i="12" s="1"/>
  <c r="F116" i="12" a="1"/>
  <c r="F116" i="12" s="1"/>
  <c r="G116" i="12" a="1"/>
  <c r="G116" i="12" s="1"/>
  <c r="H116" i="12" a="1"/>
  <c r="H116" i="12" s="1"/>
  <c r="L116" i="12" s="1"/>
  <c r="F117" i="12" a="1"/>
  <c r="F117" i="12" s="1"/>
  <c r="G117" i="12" a="1"/>
  <c r="G117" i="12" s="1"/>
  <c r="H117" i="12" a="1"/>
  <c r="H117" i="12" s="1"/>
  <c r="L117" i="12" s="1"/>
  <c r="F118" i="12" a="1"/>
  <c r="F118" i="12" s="1"/>
  <c r="G118" i="12" a="1"/>
  <c r="G118" i="12" s="1"/>
  <c r="H118" i="12" a="1"/>
  <c r="H118" i="12" s="1"/>
  <c r="L118" i="12" s="1"/>
  <c r="F119" i="12" a="1"/>
  <c r="F119" i="12" s="1"/>
  <c r="G119" i="12" a="1"/>
  <c r="G119" i="12" s="1"/>
  <c r="H119" i="12" a="1"/>
  <c r="H119" i="12" s="1"/>
  <c r="L119" i="12" s="1"/>
  <c r="F120" i="12" a="1"/>
  <c r="F120" i="12" s="1"/>
  <c r="G120" i="12" a="1"/>
  <c r="G120" i="12" s="1"/>
  <c r="H120" i="12" a="1"/>
  <c r="H120" i="12" s="1"/>
  <c r="L120" i="12" s="1"/>
  <c r="F121" i="12" a="1"/>
  <c r="F121" i="12" s="1"/>
  <c r="G121" i="12" a="1"/>
  <c r="G121" i="12" s="1"/>
  <c r="H121" i="12" a="1"/>
  <c r="H121" i="12" s="1"/>
  <c r="L121" i="12" s="1"/>
  <c r="F123" i="12" a="1"/>
  <c r="F123" i="12" s="1"/>
  <c r="G123" i="12" a="1"/>
  <c r="G123" i="12" s="1"/>
  <c r="H123" i="12" a="1"/>
  <c r="H123" i="12" s="1"/>
  <c r="L123" i="12" s="1"/>
  <c r="F124" i="12" a="1"/>
  <c r="F124" i="12" s="1"/>
  <c r="G124" i="12" a="1"/>
  <c r="G124" i="12" s="1"/>
  <c r="H124" i="12" a="1"/>
  <c r="H124" i="12" s="1"/>
  <c r="L124" i="12" s="1"/>
  <c r="F125" i="12" a="1"/>
  <c r="F125" i="12" s="1"/>
  <c r="G125" i="12" a="1"/>
  <c r="G125" i="12" s="1"/>
  <c r="H125" i="12" a="1"/>
  <c r="H125" i="12" s="1"/>
  <c r="L125" i="12" s="1"/>
  <c r="F126" i="12" a="1"/>
  <c r="F126" i="12" s="1"/>
  <c r="G126" i="12" a="1"/>
  <c r="G126" i="12" s="1"/>
  <c r="H126" i="12" a="1"/>
  <c r="H126" i="12" s="1"/>
  <c r="L126" i="12" s="1"/>
  <c r="F127" i="12" a="1"/>
  <c r="F127" i="12" s="1"/>
  <c r="G127" i="12" a="1"/>
  <c r="G127" i="12" s="1"/>
  <c r="H127" i="12" a="1"/>
  <c r="H127" i="12" s="1"/>
  <c r="L127" i="12" s="1"/>
  <c r="F128" i="12" a="1"/>
  <c r="F128" i="12" s="1"/>
  <c r="G128" i="12" a="1"/>
  <c r="G128" i="12" s="1"/>
  <c r="H128" i="12" a="1"/>
  <c r="H128" i="12" s="1"/>
  <c r="L128" i="12" s="1"/>
  <c r="F129" i="12" a="1"/>
  <c r="F129" i="12" s="1"/>
  <c r="G129" i="12" a="1"/>
  <c r="G129" i="12" s="1"/>
  <c r="H129" i="12" a="1"/>
  <c r="H129" i="12" s="1"/>
  <c r="L129" i="12" s="1"/>
  <c r="F130" i="12" a="1"/>
  <c r="F130" i="12" s="1"/>
  <c r="G130" i="12" a="1"/>
  <c r="G130" i="12" s="1"/>
  <c r="H130" i="12" a="1"/>
  <c r="H130" i="12" s="1"/>
  <c r="L130" i="12" s="1"/>
  <c r="F131" i="12" a="1"/>
  <c r="F131" i="12" s="1"/>
  <c r="G131" i="12" a="1"/>
  <c r="G131" i="12" s="1"/>
  <c r="H131" i="12" a="1"/>
  <c r="H131" i="12" s="1"/>
  <c r="L131" i="12" s="1"/>
  <c r="F132" i="12" a="1"/>
  <c r="F132" i="12" s="1"/>
  <c r="G132" i="12" a="1"/>
  <c r="G132" i="12" s="1"/>
  <c r="H132" i="12" a="1"/>
  <c r="H132" i="12" s="1"/>
  <c r="L132" i="12" s="1"/>
  <c r="F133" i="12" a="1"/>
  <c r="F133" i="12" s="1"/>
  <c r="G133" i="12" a="1"/>
  <c r="G133" i="12" s="1"/>
  <c r="H133" i="12" a="1"/>
  <c r="H133" i="12" s="1"/>
  <c r="L133" i="12" s="1"/>
  <c r="F135" i="12" a="1"/>
  <c r="F135" i="12" s="1"/>
  <c r="G135" i="12" a="1"/>
  <c r="G135" i="12" s="1"/>
  <c r="H135" i="12" a="1"/>
  <c r="H135" i="12" s="1"/>
  <c r="L135" i="12" s="1"/>
  <c r="F136" i="12" a="1"/>
  <c r="F136" i="12" s="1"/>
  <c r="G136" i="12" a="1"/>
  <c r="G136" i="12" s="1"/>
  <c r="H136" i="12" a="1"/>
  <c r="H136" i="12" s="1"/>
  <c r="L136" i="12" s="1"/>
  <c r="F137" i="12" a="1"/>
  <c r="F137" i="12" s="1"/>
  <c r="G137" i="12" a="1"/>
  <c r="G137" i="12" s="1"/>
  <c r="H137" i="12" a="1"/>
  <c r="H137" i="12" s="1"/>
  <c r="L137" i="12" s="1"/>
  <c r="F138" i="12" a="1"/>
  <c r="F138" i="12" s="1"/>
  <c r="G138" i="12" a="1"/>
  <c r="G138" i="12" s="1"/>
  <c r="H138" i="12" a="1"/>
  <c r="H138" i="12" s="1"/>
  <c r="L138" i="12" s="1"/>
  <c r="F139" i="12" a="1"/>
  <c r="F139" i="12" s="1"/>
  <c r="G139" i="12" a="1"/>
  <c r="G139" i="12" s="1"/>
  <c r="H139" i="12" a="1"/>
  <c r="H139" i="12" s="1"/>
  <c r="L139" i="12" s="1"/>
  <c r="F140" i="12" a="1"/>
  <c r="F140" i="12" s="1"/>
  <c r="G140" i="12" a="1"/>
  <c r="G140" i="12" s="1"/>
  <c r="H140" i="12" a="1"/>
  <c r="H140" i="12" s="1"/>
  <c r="L140" i="12" s="1"/>
  <c r="F141" i="12" a="1"/>
  <c r="F141" i="12" s="1"/>
  <c r="G141" i="12" a="1"/>
  <c r="G141" i="12" s="1"/>
  <c r="H141" i="12" a="1"/>
  <c r="H141" i="12" s="1"/>
  <c r="L141" i="12" s="1"/>
  <c r="F142" i="12" a="1"/>
  <c r="F142" i="12" s="1"/>
  <c r="G142" i="12" a="1"/>
  <c r="G142" i="12" s="1"/>
  <c r="H142" i="12" a="1"/>
  <c r="H142" i="12" s="1"/>
  <c r="L142" i="12" s="1"/>
  <c r="F143" i="12" a="1"/>
  <c r="F143" i="12" s="1"/>
  <c r="G143" i="12" a="1"/>
  <c r="G143" i="12" s="1"/>
  <c r="H143" i="12" a="1"/>
  <c r="H143" i="12" s="1"/>
  <c r="L143" i="12" s="1"/>
  <c r="F144" i="12" a="1"/>
  <c r="F144" i="12" s="1"/>
  <c r="G144" i="12" a="1"/>
  <c r="G144" i="12" s="1"/>
  <c r="H144" i="12" a="1"/>
  <c r="H144" i="12" s="1"/>
  <c r="L144" i="12" s="1"/>
  <c r="F145" i="12" a="1"/>
  <c r="F145" i="12" s="1"/>
  <c r="G145" i="12" a="1"/>
  <c r="G145" i="12" s="1"/>
  <c r="H145" i="12" a="1"/>
  <c r="H145" i="12" s="1"/>
  <c r="L145" i="12" s="1"/>
  <c r="F147" i="12" a="1"/>
  <c r="F147" i="12" s="1"/>
  <c r="G147" i="12" a="1"/>
  <c r="G147" i="12" s="1"/>
  <c r="H147" i="12" a="1"/>
  <c r="H147" i="12" s="1"/>
  <c r="L147" i="12" s="1"/>
  <c r="F148" i="12" a="1"/>
  <c r="F148" i="12" s="1"/>
  <c r="G148" i="12" a="1"/>
  <c r="G148" i="12" s="1"/>
  <c r="H148" i="12" a="1"/>
  <c r="H148" i="12" s="1"/>
  <c r="L148" i="12" s="1"/>
  <c r="F149" i="12" a="1"/>
  <c r="F149" i="12" s="1"/>
  <c r="G149" i="12" a="1"/>
  <c r="G149" i="12" s="1"/>
  <c r="H149" i="12" a="1"/>
  <c r="H149" i="12" s="1"/>
  <c r="L149" i="12" s="1"/>
  <c r="F150" i="12" a="1"/>
  <c r="F150" i="12" s="1"/>
  <c r="G150" i="12" a="1"/>
  <c r="G150" i="12" s="1"/>
  <c r="H150" i="12" a="1"/>
  <c r="H150" i="12" s="1"/>
  <c r="L150" i="12" s="1"/>
  <c r="F151" i="12" a="1"/>
  <c r="F151" i="12" s="1"/>
  <c r="G151" i="12" a="1"/>
  <c r="G151" i="12" s="1"/>
  <c r="H151" i="12" a="1"/>
  <c r="H151" i="12" s="1"/>
  <c r="L151" i="12" s="1"/>
  <c r="F152" i="12" a="1"/>
  <c r="F152" i="12" s="1"/>
  <c r="G152" i="12" a="1"/>
  <c r="G152" i="12" s="1"/>
  <c r="H152" i="12" a="1"/>
  <c r="H152" i="12" s="1"/>
  <c r="L152" i="12" s="1"/>
  <c r="F153" i="12" a="1"/>
  <c r="F153" i="12" s="1"/>
  <c r="G153" i="12" a="1"/>
  <c r="G153" i="12" s="1"/>
  <c r="H153" i="12" a="1"/>
  <c r="H153" i="12" s="1"/>
  <c r="L153" i="12" s="1"/>
  <c r="F154" i="12" a="1"/>
  <c r="F154" i="12" s="1"/>
  <c r="G154" i="12" a="1"/>
  <c r="G154" i="12" s="1"/>
  <c r="H154" i="12" a="1"/>
  <c r="H154" i="12" s="1"/>
  <c r="L154" i="12" s="1"/>
  <c r="F155" i="12" a="1"/>
  <c r="F155" i="12" s="1"/>
  <c r="G155" i="12" a="1"/>
  <c r="G155" i="12" s="1"/>
  <c r="H155" i="12" a="1"/>
  <c r="H155" i="12" s="1"/>
  <c r="L155" i="12" s="1"/>
  <c r="F156" i="12" a="1"/>
  <c r="F156" i="12" s="1"/>
  <c r="G156" i="12" a="1"/>
  <c r="G156" i="12" s="1"/>
  <c r="H156" i="12" a="1"/>
  <c r="H156" i="12" s="1"/>
  <c r="L156" i="12" s="1"/>
  <c r="F157" i="12" a="1"/>
  <c r="F157" i="12" s="1"/>
  <c r="G157" i="12" a="1"/>
  <c r="G157" i="12" s="1"/>
  <c r="H157" i="12" a="1"/>
  <c r="H157" i="12" s="1"/>
  <c r="L157" i="12" s="1"/>
  <c r="F159" i="12" a="1"/>
  <c r="F159" i="12" s="1"/>
  <c r="G159" i="12" a="1"/>
  <c r="G159" i="12" s="1"/>
  <c r="H159" i="12" a="1"/>
  <c r="H159" i="12" s="1"/>
  <c r="L159" i="12" s="1"/>
  <c r="F160" i="12" a="1"/>
  <c r="F160" i="12" s="1"/>
  <c r="G160" i="12" a="1"/>
  <c r="G160" i="12" s="1"/>
  <c r="H160" i="12" a="1"/>
  <c r="H160" i="12" s="1"/>
  <c r="L160" i="12" s="1"/>
  <c r="F161" i="12" a="1"/>
  <c r="F161" i="12" s="1"/>
  <c r="G161" i="12" a="1"/>
  <c r="G161" i="12" s="1"/>
  <c r="H161" i="12" a="1"/>
  <c r="H161" i="12" s="1"/>
  <c r="L161" i="12" s="1"/>
  <c r="F162" i="12" a="1"/>
  <c r="F162" i="12" s="1"/>
  <c r="G162" i="12" a="1"/>
  <c r="G162" i="12" s="1"/>
  <c r="H162" i="12" a="1"/>
  <c r="H162" i="12" s="1"/>
  <c r="L162" i="12" s="1"/>
  <c r="F163" i="12" a="1"/>
  <c r="F163" i="12" s="1"/>
  <c r="G163" i="12" a="1"/>
  <c r="G163" i="12" s="1"/>
  <c r="H163" i="12" a="1"/>
  <c r="H163" i="12" s="1"/>
  <c r="L163" i="12" s="1"/>
  <c r="F164" i="12" a="1"/>
  <c r="F164" i="12" s="1"/>
  <c r="G164" i="12" a="1"/>
  <c r="G164" i="12" s="1"/>
  <c r="H164" i="12" a="1"/>
  <c r="H164" i="12" s="1"/>
  <c r="L164" i="12" s="1"/>
  <c r="F165" i="12" a="1"/>
  <c r="F165" i="12" s="1"/>
  <c r="G165" i="12" a="1"/>
  <c r="G165" i="12" s="1"/>
  <c r="H165" i="12" a="1"/>
  <c r="H165" i="12" s="1"/>
  <c r="L165" i="12" s="1"/>
  <c r="F166" i="12" a="1"/>
  <c r="F166" i="12" s="1"/>
  <c r="G166" i="12" a="1"/>
  <c r="G166" i="12" s="1"/>
  <c r="H166" i="12" a="1"/>
  <c r="H166" i="12" s="1"/>
  <c r="L166" i="12" s="1"/>
  <c r="F167" i="12" a="1"/>
  <c r="F167" i="12" s="1"/>
  <c r="G167" i="12" a="1"/>
  <c r="G167" i="12" s="1"/>
  <c r="H167" i="12" a="1"/>
  <c r="H167" i="12" s="1"/>
  <c r="L167" i="12" s="1"/>
  <c r="F168" i="12" a="1"/>
  <c r="F168" i="12" s="1"/>
  <c r="G168" i="12" a="1"/>
  <c r="G168" i="12" s="1"/>
  <c r="H168" i="12" a="1"/>
  <c r="H168" i="12" s="1"/>
  <c r="L168" i="12" s="1"/>
  <c r="F169" i="12" a="1"/>
  <c r="F169" i="12" s="1"/>
  <c r="G169" i="12" a="1"/>
  <c r="G169" i="12" s="1"/>
  <c r="H169" i="12" a="1"/>
  <c r="H169" i="12" s="1"/>
  <c r="L169" i="12" s="1"/>
  <c r="F171" i="12" a="1"/>
  <c r="F171" i="12" s="1"/>
  <c r="G171" i="12" a="1"/>
  <c r="G171" i="12" s="1"/>
  <c r="H171" i="12" a="1"/>
  <c r="H171" i="12" s="1"/>
  <c r="L171" i="12" s="1"/>
  <c r="F172" i="12" a="1"/>
  <c r="F172" i="12" s="1"/>
  <c r="G172" i="12" a="1"/>
  <c r="G172" i="12" s="1"/>
  <c r="H172" i="12" a="1"/>
  <c r="H172" i="12" s="1"/>
  <c r="L172" i="12" s="1"/>
  <c r="F173" i="12" a="1"/>
  <c r="F173" i="12" s="1"/>
  <c r="G173" i="12" a="1"/>
  <c r="G173" i="12" s="1"/>
  <c r="H173" i="12" a="1"/>
  <c r="H173" i="12" s="1"/>
  <c r="L173" i="12" s="1"/>
  <c r="F174" i="12" a="1"/>
  <c r="F174" i="12" s="1"/>
  <c r="G174" i="12" a="1"/>
  <c r="G174" i="12" s="1"/>
  <c r="H174" i="12" a="1"/>
  <c r="H174" i="12" s="1"/>
  <c r="L174" i="12" s="1"/>
  <c r="F175" i="12" a="1"/>
  <c r="F175" i="12" s="1"/>
  <c r="G175" i="12" a="1"/>
  <c r="G175" i="12" s="1"/>
  <c r="H175" i="12" a="1"/>
  <c r="H175" i="12" s="1"/>
  <c r="L175" i="12" s="1"/>
  <c r="F176" i="12" a="1"/>
  <c r="F176" i="12" s="1"/>
  <c r="G176" i="12" a="1"/>
  <c r="G176" i="12" s="1"/>
  <c r="H176" i="12" a="1"/>
  <c r="H176" i="12" s="1"/>
  <c r="L176" i="12" s="1"/>
  <c r="F177" i="12" a="1"/>
  <c r="F177" i="12" s="1"/>
  <c r="G177" i="12" a="1"/>
  <c r="G177" i="12" s="1"/>
  <c r="H177" i="12" a="1"/>
  <c r="H177" i="12" s="1"/>
  <c r="L177" i="12" s="1"/>
  <c r="F178" i="12" a="1"/>
  <c r="F178" i="12" s="1"/>
  <c r="G178" i="12" a="1"/>
  <c r="G178" i="12" s="1"/>
  <c r="H178" i="12" a="1"/>
  <c r="H178" i="12" s="1"/>
  <c r="L178" i="12" s="1"/>
  <c r="F179" i="12" a="1"/>
  <c r="F179" i="12" s="1"/>
  <c r="G179" i="12" a="1"/>
  <c r="G179" i="12" s="1"/>
  <c r="H179" i="12" a="1"/>
  <c r="H179" i="12" s="1"/>
  <c r="L179" i="12" s="1"/>
  <c r="F180" i="12" a="1"/>
  <c r="F180" i="12" s="1"/>
  <c r="G180" i="12" a="1"/>
  <c r="G180" i="12" s="1"/>
  <c r="H180" i="12" a="1"/>
  <c r="H180" i="12" s="1"/>
  <c r="L180" i="12" s="1"/>
  <c r="H21" i="12" a="1"/>
  <c r="H21" i="12" s="1"/>
  <c r="L21" i="12" s="1"/>
  <c r="G21" i="12" a="1"/>
  <c r="G21" i="12" s="1"/>
  <c r="F21" i="12" a="1"/>
  <c r="F21" i="12" s="1"/>
  <c r="D180" i="1" l="1"/>
  <c r="F180" i="1" s="1"/>
  <c r="D205" i="1"/>
  <c r="D201" i="1"/>
  <c r="B201" i="1" s="1"/>
  <c r="D195" i="1"/>
  <c r="F195" i="1" s="1"/>
  <c r="D191" i="1"/>
  <c r="F191" i="1" s="1"/>
  <c r="D187" i="1"/>
  <c r="D183" i="1"/>
  <c r="B183" i="1" s="1"/>
  <c r="D177" i="1"/>
  <c r="F177" i="1" s="1"/>
  <c r="D173" i="1"/>
  <c r="F173" i="1" s="1"/>
  <c r="D169" i="1"/>
  <c r="B169" i="1" s="1"/>
  <c r="D165" i="1"/>
  <c r="B165" i="1" s="1"/>
  <c r="D159" i="1"/>
  <c r="F159" i="1" s="1"/>
  <c r="D179" i="1"/>
  <c r="F179" i="1" s="1"/>
  <c r="D204" i="1"/>
  <c r="D200" i="1"/>
  <c r="B200" i="1" s="1"/>
  <c r="D194" i="1"/>
  <c r="F194" i="1" s="1"/>
  <c r="D190" i="1"/>
  <c r="F190" i="1" s="1"/>
  <c r="D186" i="1"/>
  <c r="B186" i="1" s="1"/>
  <c r="D182" i="1"/>
  <c r="B182" i="1" s="1"/>
  <c r="D176" i="1"/>
  <c r="F176" i="1" s="1"/>
  <c r="D168" i="1"/>
  <c r="B168" i="1" s="1"/>
  <c r="D164" i="1"/>
  <c r="B164" i="1" s="1"/>
  <c r="D158" i="1"/>
  <c r="F158" i="1" s="1"/>
  <c r="D197" i="1"/>
  <c r="F197" i="1" s="1"/>
  <c r="D163" i="1"/>
  <c r="F163" i="1" s="1"/>
  <c r="D203" i="1"/>
  <c r="B203" i="1" s="1"/>
  <c r="D199" i="1"/>
  <c r="B199" i="1" s="1"/>
  <c r="D193" i="1"/>
  <c r="F193" i="1" s="1"/>
  <c r="D185" i="1"/>
  <c r="B185" i="1" s="1"/>
  <c r="D181" i="1"/>
  <c r="B181" i="1" s="1"/>
  <c r="D175" i="1"/>
  <c r="F175" i="1" s="1"/>
  <c r="D171" i="1"/>
  <c r="D167" i="1"/>
  <c r="B167" i="1" s="1"/>
  <c r="D161" i="1"/>
  <c r="F161" i="1" s="1"/>
  <c r="D157" i="1"/>
  <c r="F157" i="1" s="1"/>
  <c r="D196" i="1"/>
  <c r="F196" i="1" s="1"/>
  <c r="D162" i="1"/>
  <c r="F162" i="1" s="1"/>
  <c r="D202" i="1"/>
  <c r="B202" i="1" s="1"/>
  <c r="D198" i="1"/>
  <c r="B198" i="1" s="1"/>
  <c r="D192" i="1"/>
  <c r="F192" i="1" s="1"/>
  <c r="D188" i="1"/>
  <c r="D184" i="1"/>
  <c r="B184" i="1" s="1"/>
  <c r="D178" i="1"/>
  <c r="F178" i="1" s="1"/>
  <c r="D174" i="1"/>
  <c r="F174" i="1" s="1"/>
  <c r="D170" i="1"/>
  <c r="D166" i="1"/>
  <c r="B166" i="1" s="1"/>
  <c r="D160" i="1"/>
  <c r="F160" i="1" s="1"/>
  <c r="D156" i="1"/>
  <c r="F156" i="1" s="1"/>
  <c r="F24" i="1"/>
  <c r="D154" i="1"/>
  <c r="D139" i="1"/>
  <c r="F139" i="1" s="1"/>
  <c r="D150" i="1"/>
  <c r="B150" i="1" s="1"/>
  <c r="D143" i="1"/>
  <c r="F143" i="1" s="1"/>
  <c r="D189" i="1"/>
  <c r="F189" i="1" s="1"/>
  <c r="D153" i="1"/>
  <c r="D151" i="1"/>
  <c r="B151" i="1" s="1"/>
  <c r="D147" i="1"/>
  <c r="B147" i="1" s="1"/>
  <c r="D140" i="1"/>
  <c r="F140" i="1" s="1"/>
  <c r="D144" i="1"/>
  <c r="F144" i="1" s="1"/>
  <c r="D152" i="1"/>
  <c r="B152" i="1" s="1"/>
  <c r="D146" i="1"/>
  <c r="F146" i="1" s="1"/>
  <c r="D141" i="1"/>
  <c r="F141" i="1" s="1"/>
  <c r="D138" i="1"/>
  <c r="F138" i="1" s="1"/>
  <c r="D155" i="1"/>
  <c r="F155" i="1" s="1"/>
  <c r="D149" i="1"/>
  <c r="B149" i="1" s="1"/>
  <c r="D145" i="1"/>
  <c r="F145" i="1" s="1"/>
  <c r="D142" i="1"/>
  <c r="F142" i="1" s="1"/>
  <c r="D172" i="1"/>
  <c r="F172" i="1" s="1"/>
  <c r="D148" i="1"/>
  <c r="B148" i="1" s="1"/>
  <c r="C35" i="70"/>
  <c r="G70" i="70"/>
  <c r="G74" i="70"/>
  <c r="G78" i="70"/>
  <c r="G52" i="70"/>
  <c r="G56" i="70"/>
  <c r="G60" i="70"/>
  <c r="G64" i="70"/>
  <c r="G38" i="70"/>
  <c r="G42" i="70"/>
  <c r="G46" i="70"/>
  <c r="G20" i="70"/>
  <c r="G24" i="70"/>
  <c r="G28" i="70"/>
  <c r="G32" i="70"/>
  <c r="E67" i="68"/>
  <c r="E71" i="68"/>
  <c r="E75" i="68"/>
  <c r="E51" i="68"/>
  <c r="E55" i="68"/>
  <c r="E59" i="68"/>
  <c r="E35" i="68"/>
  <c r="E39" i="68"/>
  <c r="E43" i="68"/>
  <c r="E19" i="68"/>
  <c r="E23" i="68"/>
  <c r="E27" i="68"/>
  <c r="E18" i="68"/>
  <c r="E59" i="69"/>
  <c r="K41" i="69"/>
  <c r="Q23" i="69"/>
  <c r="J77" i="69"/>
  <c r="J59" i="69"/>
  <c r="J41" i="69"/>
  <c r="J23" i="69"/>
  <c r="C19" i="70"/>
  <c r="G72" i="70"/>
  <c r="G77" i="70"/>
  <c r="G53" i="70"/>
  <c r="G58" i="70"/>
  <c r="G63" i="70"/>
  <c r="G39" i="70"/>
  <c r="G44" i="70"/>
  <c r="G35" i="70"/>
  <c r="G25" i="70"/>
  <c r="G30" i="70"/>
  <c r="E66" i="68"/>
  <c r="E72" i="68"/>
  <c r="E49" i="68"/>
  <c r="E54" i="68"/>
  <c r="E60" i="68"/>
  <c r="E37" i="68"/>
  <c r="E42" i="68"/>
  <c r="E20" i="68"/>
  <c r="E25" i="68"/>
  <c r="E30" i="68"/>
  <c r="E77" i="69"/>
  <c r="Q59" i="69"/>
  <c r="K23" i="69"/>
  <c r="D59" i="69"/>
  <c r="D23" i="69"/>
  <c r="U92" i="69"/>
  <c r="U90" i="69"/>
  <c r="U88" i="69"/>
  <c r="U86" i="69"/>
  <c r="U84" i="69"/>
  <c r="U82" i="69"/>
  <c r="U80" i="69"/>
  <c r="U78" i="69"/>
  <c r="U74" i="69"/>
  <c r="U72" i="69"/>
  <c r="U70" i="69"/>
  <c r="U68" i="69"/>
  <c r="U66" i="69"/>
  <c r="U64" i="69"/>
  <c r="U62" i="69"/>
  <c r="U60" i="69"/>
  <c r="U56" i="69"/>
  <c r="U54" i="69"/>
  <c r="U52" i="69"/>
  <c r="U50" i="69"/>
  <c r="U48" i="69"/>
  <c r="U46" i="69"/>
  <c r="U44" i="69"/>
  <c r="U42" i="69"/>
  <c r="U38" i="69"/>
  <c r="U36" i="69"/>
  <c r="U34" i="69"/>
  <c r="U32" i="69"/>
  <c r="U30" i="69"/>
  <c r="U28" i="69"/>
  <c r="U26" i="69"/>
  <c r="U24" i="69"/>
  <c r="C67" i="70"/>
  <c r="G71" i="70"/>
  <c r="G79" i="70"/>
  <c r="G55" i="70"/>
  <c r="G62" i="70"/>
  <c r="G40" i="70"/>
  <c r="G47" i="70"/>
  <c r="G23" i="70"/>
  <c r="G31" i="70"/>
  <c r="E69" i="68"/>
  <c r="E63" i="68"/>
  <c r="E56" i="68"/>
  <c r="E34" i="68"/>
  <c r="E41" i="68"/>
  <c r="E21" i="68"/>
  <c r="E28" i="68"/>
  <c r="Q41" i="69"/>
  <c r="E23" i="69"/>
  <c r="P77" i="69"/>
  <c r="D41" i="69"/>
  <c r="U87" i="69"/>
  <c r="U79" i="69"/>
  <c r="U69" i="69"/>
  <c r="U61" i="69"/>
  <c r="U51" i="69"/>
  <c r="U43" i="69"/>
  <c r="U33" i="69"/>
  <c r="U25" i="69"/>
  <c r="C51" i="70"/>
  <c r="G73" i="70"/>
  <c r="G80" i="70"/>
  <c r="G57" i="70"/>
  <c r="G51" i="70"/>
  <c r="G41" i="70"/>
  <c r="G48" i="70"/>
  <c r="G26" i="70"/>
  <c r="G19" i="70"/>
  <c r="E64" i="68"/>
  <c r="E70" i="68"/>
  <c r="E50" i="68"/>
  <c r="E57" i="68"/>
  <c r="E36" i="68"/>
  <c r="E44" i="68"/>
  <c r="E22" i="68"/>
  <c r="E29" i="68"/>
  <c r="Q77" i="69"/>
  <c r="K59" i="69"/>
  <c r="E41" i="69"/>
  <c r="D77" i="69"/>
  <c r="P23" i="69"/>
  <c r="U89" i="69"/>
  <c r="U81" i="69"/>
  <c r="U71" i="69"/>
  <c r="U63" i="69"/>
  <c r="U53" i="69"/>
  <c r="U45" i="69"/>
  <c r="U35" i="69"/>
  <c r="U27" i="69"/>
  <c r="G68" i="70"/>
  <c r="G75" i="70"/>
  <c r="G67" i="70"/>
  <c r="G59" i="70"/>
  <c r="G36" i="70"/>
  <c r="G43" i="70"/>
  <c r="G21" i="70"/>
  <c r="G27" i="70"/>
  <c r="E65" i="68"/>
  <c r="E73" i="68"/>
  <c r="E52" i="68"/>
  <c r="E58" i="68"/>
  <c r="E38" i="68"/>
  <c r="E45" i="68"/>
  <c r="E24" i="68"/>
  <c r="K77" i="69"/>
  <c r="P59" i="69"/>
  <c r="U91" i="69"/>
  <c r="U83" i="69"/>
  <c r="U73" i="69"/>
  <c r="U65" i="69"/>
  <c r="U55" i="69"/>
  <c r="U47" i="69"/>
  <c r="U37" i="69"/>
  <c r="U29" i="69"/>
  <c r="G54" i="70"/>
  <c r="G22" i="70"/>
  <c r="E48" i="68"/>
  <c r="P41" i="69"/>
  <c r="U77" i="69"/>
  <c r="U41" i="69"/>
  <c r="G61" i="70"/>
  <c r="G29" i="70"/>
  <c r="E68" i="68"/>
  <c r="E40" i="68"/>
  <c r="U67" i="69"/>
  <c r="U31" i="69"/>
  <c r="G69" i="70"/>
  <c r="G37" i="70"/>
  <c r="E74" i="68"/>
  <c r="E33" i="68"/>
  <c r="U59" i="69"/>
  <c r="U23" i="69"/>
  <c r="G76" i="70"/>
  <c r="G45" i="70"/>
  <c r="E53" i="68"/>
  <c r="E26" i="68"/>
  <c r="U85" i="69"/>
  <c r="U49" i="69"/>
  <c r="Q28" i="69" a="1"/>
  <c r="Q28" i="69" s="1"/>
  <c r="R28" i="69" s="1" a="1"/>
  <c r="R28" i="69" s="1"/>
  <c r="S28" i="69" s="1"/>
  <c r="Q64" i="69" a="1"/>
  <c r="Q64" i="69" s="1"/>
  <c r="R64" i="69" s="1" a="1"/>
  <c r="R64" i="69" s="1"/>
  <c r="S64" i="69" s="1"/>
  <c r="Q46" i="69" a="1"/>
  <c r="Q46" i="69" s="1"/>
  <c r="R46" i="69" s="1" a="1"/>
  <c r="R46" i="69" s="1"/>
  <c r="S46" i="69" s="1"/>
  <c r="Q44" i="69" a="1"/>
  <c r="Q44" i="69" s="1"/>
  <c r="R44" i="69" s="1" a="1"/>
  <c r="R44" i="69" s="1"/>
  <c r="S44" i="69" s="1"/>
  <c r="Q26" i="69" a="1"/>
  <c r="Q26" i="69" s="1"/>
  <c r="R26" i="69" s="1" a="1"/>
  <c r="R26" i="69" s="1"/>
  <c r="S26" i="69" s="1"/>
  <c r="Q83" i="69" a="1"/>
  <c r="Q83" i="69" s="1"/>
  <c r="R83" i="69" s="1" a="1"/>
  <c r="R83" i="69" s="1"/>
  <c r="S83" i="69" s="1"/>
  <c r="Q62" i="69" a="1"/>
  <c r="Q62" i="69" s="1"/>
  <c r="R62" i="69" s="1" a="1"/>
  <c r="R62" i="69" s="1"/>
  <c r="S62" i="69" s="1"/>
  <c r="Q25" i="69" a="1"/>
  <c r="Q25" i="69" s="1"/>
  <c r="Q82" i="69" a="1"/>
  <c r="Q82" i="69" s="1"/>
  <c r="R82" i="69" s="1" a="1"/>
  <c r="R82" i="69" s="1"/>
  <c r="S82" i="69" s="1"/>
  <c r="Q65" i="69" a="1"/>
  <c r="Q65" i="69" s="1"/>
  <c r="R65" i="69" s="1" a="1"/>
  <c r="R65" i="69" s="1"/>
  <c r="S65" i="69" s="1"/>
  <c r="Q81" i="69" a="1"/>
  <c r="Q81" i="69" s="1"/>
  <c r="R81" i="69" s="1" a="1"/>
  <c r="R81" i="69" s="1"/>
  <c r="S81" i="69" s="1"/>
  <c r="Q45" i="69" a="1"/>
  <c r="Q45" i="69" s="1"/>
  <c r="R45" i="69" s="1" a="1"/>
  <c r="R45" i="69" s="1"/>
  <c r="S45" i="69" s="1"/>
  <c r="Q61" i="69" a="1"/>
  <c r="Q61" i="69" s="1"/>
  <c r="Q63" i="69" a="1"/>
  <c r="Q63" i="69" s="1"/>
  <c r="R63" i="69" s="1" a="1"/>
  <c r="R63" i="69" s="1"/>
  <c r="S63" i="69" s="1"/>
  <c r="Q47" i="69" a="1"/>
  <c r="Q47" i="69" s="1"/>
  <c r="R47" i="69" s="1" a="1"/>
  <c r="R47" i="69" s="1"/>
  <c r="S47" i="69" s="1"/>
  <c r="Q79" i="69" a="1"/>
  <c r="Q79" i="69" s="1"/>
  <c r="Q43" i="69" a="1"/>
  <c r="Q43" i="69" s="1"/>
  <c r="Q80" i="69" a="1"/>
  <c r="Q80" i="69" s="1"/>
  <c r="R80" i="69" s="1" a="1"/>
  <c r="R80" i="69" s="1"/>
  <c r="S80" i="69" s="1"/>
  <c r="Q27" i="69" a="1"/>
  <c r="Q27" i="69" s="1"/>
  <c r="R27" i="69" s="1" a="1"/>
  <c r="R27" i="69" s="1"/>
  <c r="S27" i="69" s="1"/>
  <c r="Q29" i="69" a="1"/>
  <c r="Q29" i="69" s="1"/>
  <c r="R29" i="69" s="1" a="1"/>
  <c r="R29" i="69" s="1"/>
  <c r="S29" i="69" s="1"/>
  <c r="Z6" i="32"/>
  <c r="Z5" i="32"/>
  <c r="Z7" i="32"/>
  <c r="Z3" i="32"/>
  <c r="Z4" i="32"/>
  <c r="Y6" i="32"/>
  <c r="Y4" i="32"/>
  <c r="G25" i="1"/>
  <c r="Y7" i="32"/>
  <c r="Y5" i="32"/>
  <c r="Y3" i="32"/>
  <c r="Z2" i="32"/>
  <c r="D2" i="121"/>
  <c r="C2" i="121"/>
  <c r="F2" i="121"/>
  <c r="E2" i="121"/>
  <c r="D121" i="12"/>
  <c r="D133" i="12"/>
  <c r="D157" i="12"/>
  <c r="D145" i="12"/>
  <c r="D97" i="12"/>
  <c r="D49" i="12"/>
  <c r="D85" i="12"/>
  <c r="D37" i="12"/>
  <c r="D169" i="12"/>
  <c r="D73" i="12"/>
  <c r="D109" i="12"/>
  <c r="D61" i="12"/>
  <c r="D21" i="12"/>
  <c r="E23" i="121"/>
  <c r="R23" i="121"/>
  <c r="T23" i="121" s="1"/>
  <c r="G23" i="121"/>
  <c r="Y2" i="32"/>
  <c r="Q23" i="121"/>
  <c r="S23" i="121"/>
  <c r="N23" i="121"/>
  <c r="P23" i="121" s="1"/>
  <c r="I23" i="121"/>
  <c r="K23" i="121"/>
  <c r="F23" i="121"/>
  <c r="H23" i="121" s="1"/>
  <c r="M23" i="121"/>
  <c r="O23" i="121"/>
  <c r="J23" i="121"/>
  <c r="L23" i="121" s="1"/>
  <c r="D80" i="70"/>
  <c r="E80" i="70" s="1"/>
  <c r="C80" i="70"/>
  <c r="D79" i="70"/>
  <c r="E79" i="70" s="1"/>
  <c r="C79" i="70"/>
  <c r="D78" i="70"/>
  <c r="E78" i="70" s="1"/>
  <c r="C78" i="70"/>
  <c r="D77" i="70"/>
  <c r="E77" i="70" s="1"/>
  <c r="C77" i="70"/>
  <c r="D76" i="70"/>
  <c r="E76" i="70" s="1"/>
  <c r="C76" i="70"/>
  <c r="D75" i="70"/>
  <c r="E75" i="70" s="1"/>
  <c r="C75" i="70"/>
  <c r="B71" i="70"/>
  <c r="D74" i="70"/>
  <c r="E74" i="70" s="1"/>
  <c r="C74" i="70"/>
  <c r="D73" i="70"/>
  <c r="E73" i="70" s="1"/>
  <c r="C73" i="70"/>
  <c r="D72" i="70"/>
  <c r="E72" i="70" s="1"/>
  <c r="C72" i="70"/>
  <c r="D71" i="70"/>
  <c r="E71" i="70" s="1"/>
  <c r="C71" i="70"/>
  <c r="B69" i="70"/>
  <c r="D64" i="70"/>
  <c r="E64" i="70" s="1"/>
  <c r="C64" i="70"/>
  <c r="D63" i="70"/>
  <c r="E63" i="70" s="1"/>
  <c r="C63" i="70"/>
  <c r="D62" i="70"/>
  <c r="E62" i="70" s="1"/>
  <c r="C62" i="70"/>
  <c r="D61" i="70"/>
  <c r="E61" i="70" s="1"/>
  <c r="C61" i="70"/>
  <c r="D60" i="70"/>
  <c r="E60" i="70" s="1"/>
  <c r="C60" i="70"/>
  <c r="D59" i="70"/>
  <c r="E59" i="70" s="1"/>
  <c r="C59" i="70"/>
  <c r="B55" i="70"/>
  <c r="D58" i="70"/>
  <c r="E58" i="70" s="1"/>
  <c r="C58" i="70"/>
  <c r="D57" i="70"/>
  <c r="E57" i="70" s="1"/>
  <c r="C57" i="70"/>
  <c r="D56" i="70"/>
  <c r="E56" i="70" s="1"/>
  <c r="C56" i="70"/>
  <c r="D55" i="70"/>
  <c r="E55" i="70" s="1"/>
  <c r="C55" i="70"/>
  <c r="B53" i="70"/>
  <c r="D48" i="70"/>
  <c r="E48" i="70" s="1"/>
  <c r="C48" i="70"/>
  <c r="D47" i="70"/>
  <c r="E47" i="70" s="1"/>
  <c r="C47" i="70"/>
  <c r="D46" i="70"/>
  <c r="E46" i="70" s="1"/>
  <c r="C46" i="70"/>
  <c r="D45" i="70"/>
  <c r="E45" i="70" s="1"/>
  <c r="C45" i="70"/>
  <c r="D44" i="70"/>
  <c r="E44" i="70" s="1"/>
  <c r="C44" i="70"/>
  <c r="D43" i="70"/>
  <c r="E43" i="70" s="1"/>
  <c r="C43" i="70"/>
  <c r="B39" i="70"/>
  <c r="D42" i="70"/>
  <c r="E42" i="70" s="1"/>
  <c r="C42" i="70"/>
  <c r="D41" i="70"/>
  <c r="E41" i="70" s="1"/>
  <c r="C41" i="70"/>
  <c r="D40" i="70"/>
  <c r="E40" i="70" s="1"/>
  <c r="C40" i="70"/>
  <c r="D39" i="70"/>
  <c r="E39" i="70" s="1"/>
  <c r="C39" i="70"/>
  <c r="B37" i="70"/>
  <c r="D32" i="70"/>
  <c r="E32" i="70" s="1"/>
  <c r="C32" i="70"/>
  <c r="D31" i="70"/>
  <c r="E31" i="70" s="1"/>
  <c r="C31" i="70"/>
  <c r="D30" i="70"/>
  <c r="E30" i="70" s="1"/>
  <c r="C30" i="70"/>
  <c r="D29" i="70"/>
  <c r="E29" i="70" s="1"/>
  <c r="C29" i="70"/>
  <c r="D28" i="70"/>
  <c r="E28" i="70" s="1"/>
  <c r="C28" i="70"/>
  <c r="D27" i="70"/>
  <c r="E27" i="70" s="1"/>
  <c r="C27" i="70"/>
  <c r="B23" i="70"/>
  <c r="D26" i="70"/>
  <c r="E26" i="70" s="1"/>
  <c r="C26" i="70"/>
  <c r="D25" i="70"/>
  <c r="E25" i="70" s="1"/>
  <c r="C25" i="70"/>
  <c r="D24" i="70"/>
  <c r="E24" i="70" s="1"/>
  <c r="C24" i="70"/>
  <c r="D23" i="70"/>
  <c r="E23" i="70" s="1"/>
  <c r="C23" i="70"/>
  <c r="D22" i="70"/>
  <c r="B21" i="70"/>
  <c r="D21" i="70"/>
  <c r="D16" i="70"/>
  <c r="E16" i="70" s="1"/>
  <c r="C16" i="70"/>
  <c r="D15" i="70"/>
  <c r="E15" i="70" s="1"/>
  <c r="C15" i="70"/>
  <c r="D14" i="70"/>
  <c r="E14" i="70" s="1"/>
  <c r="C14" i="70"/>
  <c r="D13" i="70"/>
  <c r="E13" i="70" s="1"/>
  <c r="C13" i="70"/>
  <c r="D12" i="70"/>
  <c r="E12" i="70" s="1"/>
  <c r="C12" i="70"/>
  <c r="D11" i="70"/>
  <c r="E11" i="70" s="1"/>
  <c r="C11" i="70"/>
  <c r="B7" i="70"/>
  <c r="D10" i="70"/>
  <c r="E10" i="70" s="1"/>
  <c r="C10" i="70"/>
  <c r="D9" i="70"/>
  <c r="E9" i="70" s="1"/>
  <c r="C9" i="70"/>
  <c r="D8" i="70"/>
  <c r="E8" i="70" s="1"/>
  <c r="C8" i="70"/>
  <c r="D7" i="70"/>
  <c r="E7" i="70" s="1"/>
  <c r="C7" i="70"/>
  <c r="D6" i="70"/>
  <c r="B5" i="70"/>
  <c r="D5" i="70"/>
  <c r="C75" i="68"/>
  <c r="F74" i="68"/>
  <c r="F73" i="68"/>
  <c r="F72" i="68"/>
  <c r="F71" i="68"/>
  <c r="F70" i="68"/>
  <c r="F69" i="68"/>
  <c r="F68" i="68"/>
  <c r="F67" i="68"/>
  <c r="F66" i="68"/>
  <c r="F65" i="68"/>
  <c r="C60" i="68"/>
  <c r="F59" i="68"/>
  <c r="F58" i="68"/>
  <c r="F57" i="68"/>
  <c r="F56" i="68"/>
  <c r="F55" i="68"/>
  <c r="F54" i="68"/>
  <c r="F53" i="68"/>
  <c r="F52" i="68"/>
  <c r="F51" i="68"/>
  <c r="F50" i="68"/>
  <c r="C45" i="68"/>
  <c r="F44" i="68"/>
  <c r="F43" i="68"/>
  <c r="F42" i="68"/>
  <c r="F41" i="68"/>
  <c r="F40" i="68"/>
  <c r="F39" i="68"/>
  <c r="F38" i="68"/>
  <c r="F37" i="68"/>
  <c r="F36" i="68"/>
  <c r="F35" i="68"/>
  <c r="C30" i="68"/>
  <c r="F29" i="68"/>
  <c r="F28" i="68"/>
  <c r="F27" i="68"/>
  <c r="F26" i="68"/>
  <c r="F25" i="68"/>
  <c r="F24" i="68"/>
  <c r="F23" i="68"/>
  <c r="F22" i="68"/>
  <c r="F21" i="68"/>
  <c r="F20" i="68"/>
  <c r="C15" i="68"/>
  <c r="F5" i="68"/>
  <c r="F152" i="1" l="1"/>
  <c r="F151" i="1"/>
  <c r="F150" i="1"/>
  <c r="F171" i="1"/>
  <c r="F153" i="1"/>
  <c r="F198" i="1"/>
  <c r="F199" i="1"/>
  <c r="F182" i="1"/>
  <c r="F200" i="1"/>
  <c r="F165" i="1"/>
  <c r="F183" i="1"/>
  <c r="F201" i="1"/>
  <c r="F154" i="1"/>
  <c r="F166" i="1"/>
  <c r="F184" i="1"/>
  <c r="F202" i="1"/>
  <c r="F181" i="1"/>
  <c r="F203" i="1"/>
  <c r="F164" i="1"/>
  <c r="F186" i="1"/>
  <c r="F204" i="1"/>
  <c r="F169" i="1"/>
  <c r="F187" i="1"/>
  <c r="F205" i="1"/>
  <c r="F148" i="1"/>
  <c r="F149" i="1"/>
  <c r="F147" i="1"/>
  <c r="F170" i="1"/>
  <c r="F188" i="1"/>
  <c r="F167" i="1"/>
  <c r="F185" i="1"/>
  <c r="F168" i="1"/>
  <c r="E85" i="69" a="1"/>
  <c r="E85" i="69" s="1"/>
  <c r="F85" i="69" s="1" a="1"/>
  <c r="F85" i="69" s="1"/>
  <c r="G85" i="69" s="1"/>
  <c r="E90" i="69" a="1"/>
  <c r="E90" i="69" s="1"/>
  <c r="F90" i="69" s="1" a="1"/>
  <c r="F90" i="69" s="1"/>
  <c r="G90" i="69" s="1"/>
  <c r="E82" i="69" a="1"/>
  <c r="E82" i="69" s="1"/>
  <c r="F82" i="69" s="1" a="1"/>
  <c r="F82" i="69" s="1"/>
  <c r="G82" i="69" s="1"/>
  <c r="E91" i="69" a="1"/>
  <c r="E91" i="69" s="1"/>
  <c r="F91" i="69" s="1" a="1"/>
  <c r="F91" i="69" s="1"/>
  <c r="G91" i="69" s="1"/>
  <c r="E89" i="69" a="1"/>
  <c r="E89" i="69" s="1"/>
  <c r="F89" i="69" s="1" a="1"/>
  <c r="F89" i="69" s="1"/>
  <c r="G89" i="69" s="1"/>
  <c r="E80" i="69" a="1"/>
  <c r="E80" i="69" s="1"/>
  <c r="F80" i="69" s="1" a="1"/>
  <c r="F80" i="69" s="1"/>
  <c r="G80" i="69" s="1"/>
  <c r="E86" i="69" a="1"/>
  <c r="E86" i="69" s="1"/>
  <c r="F86" i="69" s="1" a="1"/>
  <c r="F86" i="69" s="1"/>
  <c r="G86" i="69" s="1"/>
  <c r="E88" i="69" a="1"/>
  <c r="E88" i="69" s="1"/>
  <c r="F88" i="69" s="1" a="1"/>
  <c r="F88" i="69" s="1"/>
  <c r="G88" i="69" s="1"/>
  <c r="E84" i="69" a="1"/>
  <c r="E84" i="69" s="1"/>
  <c r="F84" i="69" s="1" a="1"/>
  <c r="F84" i="69" s="1"/>
  <c r="G84" i="69" s="1"/>
  <c r="E87" i="69" a="1"/>
  <c r="E87" i="69" s="1"/>
  <c r="F87" i="69" s="1" a="1"/>
  <c r="F87" i="69" s="1"/>
  <c r="G87" i="69" s="1"/>
  <c r="E83" i="69" a="1"/>
  <c r="E83" i="69" s="1"/>
  <c r="F83" i="69" s="1" a="1"/>
  <c r="F83" i="69" s="1"/>
  <c r="G83" i="69" s="1"/>
  <c r="E69" i="69" a="1"/>
  <c r="E69" i="69" s="1"/>
  <c r="F69" i="69" s="1" a="1"/>
  <c r="F69" i="69" s="1"/>
  <c r="G69" i="69" s="1"/>
  <c r="E62" i="69" a="1"/>
  <c r="E62" i="69" s="1"/>
  <c r="F62" i="69" s="1" a="1"/>
  <c r="F62" i="69" s="1"/>
  <c r="G62" i="69" s="1"/>
  <c r="E71" i="69" a="1"/>
  <c r="E71" i="69" s="1"/>
  <c r="F71" i="69" s="1" a="1"/>
  <c r="F71" i="69" s="1"/>
  <c r="G71" i="69" s="1"/>
  <c r="E68" i="69" a="1"/>
  <c r="E68" i="69" s="1"/>
  <c r="F68" i="69" s="1" a="1"/>
  <c r="F68" i="69" s="1"/>
  <c r="G68" i="69" s="1"/>
  <c r="E72" i="69" a="1"/>
  <c r="E72" i="69" s="1"/>
  <c r="F72" i="69" s="1" a="1"/>
  <c r="F72" i="69" s="1"/>
  <c r="G72" i="69" s="1"/>
  <c r="E66" i="69" a="1"/>
  <c r="E66" i="69" s="1"/>
  <c r="F66" i="69" s="1" a="1"/>
  <c r="F66" i="69" s="1"/>
  <c r="G66" i="69" s="1"/>
  <c r="E65" i="69" a="1"/>
  <c r="E65" i="69" s="1"/>
  <c r="F65" i="69" s="1" a="1"/>
  <c r="F65" i="69" s="1"/>
  <c r="G65" i="69" s="1"/>
  <c r="E73" i="69" a="1"/>
  <c r="E73" i="69" s="1"/>
  <c r="F73" i="69" s="1" a="1"/>
  <c r="F73" i="69" s="1"/>
  <c r="G73" i="69" s="1"/>
  <c r="E64" i="69" a="1"/>
  <c r="E64" i="69" s="1"/>
  <c r="F64" i="69" s="1" a="1"/>
  <c r="F64" i="69" s="1"/>
  <c r="G64" i="69" s="1"/>
  <c r="E67" i="69" a="1"/>
  <c r="E67" i="69" s="1"/>
  <c r="F67" i="69" s="1" a="1"/>
  <c r="F67" i="69" s="1"/>
  <c r="G67" i="69" s="1"/>
  <c r="E70" i="69" a="1"/>
  <c r="E70" i="69" s="1"/>
  <c r="F70" i="69" s="1" a="1"/>
  <c r="F70" i="69" s="1"/>
  <c r="G70" i="69" s="1"/>
  <c r="E49" i="69" a="1"/>
  <c r="E49" i="69" s="1"/>
  <c r="F49" i="69" s="1" a="1"/>
  <c r="F49" i="69" s="1"/>
  <c r="G49" i="69" s="1"/>
  <c r="E51" i="69" a="1"/>
  <c r="E51" i="69" s="1"/>
  <c r="F51" i="69" s="1" a="1"/>
  <c r="F51" i="69" s="1"/>
  <c r="G51" i="69" s="1"/>
  <c r="E53" i="69" a="1"/>
  <c r="E53" i="69" s="1"/>
  <c r="F53" i="69" s="1" a="1"/>
  <c r="F53" i="69" s="1"/>
  <c r="G53" i="69" s="1"/>
  <c r="E48" i="69" a="1"/>
  <c r="E48" i="69" s="1"/>
  <c r="F48" i="69" s="1" a="1"/>
  <c r="F48" i="69" s="1"/>
  <c r="G48" i="69" s="1"/>
  <c r="E46" i="69" a="1"/>
  <c r="E46" i="69" s="1"/>
  <c r="F46" i="69" s="1" a="1"/>
  <c r="F46" i="69" s="1"/>
  <c r="G46" i="69" s="1"/>
  <c r="E50" i="69" a="1"/>
  <c r="E50" i="69" s="1"/>
  <c r="F50" i="69" s="1" a="1"/>
  <c r="F50" i="69" s="1"/>
  <c r="G50" i="69" s="1"/>
  <c r="E52" i="69" a="1"/>
  <c r="E52" i="69" s="1"/>
  <c r="F52" i="69" s="1" a="1"/>
  <c r="F52" i="69" s="1"/>
  <c r="G52" i="69" s="1"/>
  <c r="E47" i="69" a="1"/>
  <c r="E47" i="69" s="1"/>
  <c r="F47" i="69" s="1" a="1"/>
  <c r="F47" i="69" s="1"/>
  <c r="G47" i="69" s="1"/>
  <c r="E54" i="69" a="1"/>
  <c r="E54" i="69" s="1"/>
  <c r="F54" i="69" s="1" a="1"/>
  <c r="F54" i="69" s="1"/>
  <c r="G54" i="69" s="1"/>
  <c r="E55" i="69" a="1"/>
  <c r="E55" i="69" s="1"/>
  <c r="F55" i="69" s="1" a="1"/>
  <c r="F55" i="69" s="1"/>
  <c r="G55" i="69" s="1"/>
  <c r="E44" i="69" a="1"/>
  <c r="E44" i="69" s="1"/>
  <c r="F44" i="69" s="1" a="1"/>
  <c r="F44" i="69" s="1"/>
  <c r="G44" i="69" s="1"/>
  <c r="R61" i="69" a="1"/>
  <c r="R61" i="69" s="1"/>
  <c r="Q66" i="69"/>
  <c r="R25" i="69" a="1"/>
  <c r="R25" i="69" s="1"/>
  <c r="Q30" i="69"/>
  <c r="R43" i="69" a="1"/>
  <c r="R43" i="69" s="1"/>
  <c r="Q48" i="69"/>
  <c r="R79" i="69" a="1"/>
  <c r="R79" i="69" s="1"/>
  <c r="Q84" i="69"/>
  <c r="H40" i="70"/>
  <c r="H69" i="70"/>
  <c r="H25" i="70"/>
  <c r="H32" i="70"/>
  <c r="H21" i="70"/>
  <c r="H42" i="70"/>
  <c r="H62" i="70"/>
  <c r="H47" i="70"/>
  <c r="H23" i="70"/>
  <c r="H38" i="70"/>
  <c r="H53" i="70"/>
  <c r="H6" i="70"/>
  <c r="H48" i="70"/>
  <c r="H31" i="70"/>
  <c r="H45" i="70"/>
  <c r="H55" i="70"/>
  <c r="H16" i="70"/>
  <c r="H80" i="70"/>
  <c r="H54" i="70"/>
  <c r="H70" i="70"/>
  <c r="H63" i="70"/>
  <c r="H56" i="70"/>
  <c r="H59" i="70"/>
  <c r="H64" i="70"/>
  <c r="H71" i="70"/>
  <c r="H75" i="70"/>
  <c r="H28" i="70"/>
  <c r="H39" i="70"/>
  <c r="H43" i="70"/>
  <c r="H57" i="70"/>
  <c r="H60" i="70"/>
  <c r="H72" i="70"/>
  <c r="H77" i="70"/>
  <c r="H58" i="70"/>
  <c r="H61" i="70"/>
  <c r="H74" i="70"/>
  <c r="H79" i="70"/>
  <c r="H5" i="70"/>
  <c r="H7" i="70"/>
  <c r="H8" i="70"/>
  <c r="H9" i="70"/>
  <c r="H10" i="70"/>
  <c r="H22" i="70"/>
  <c r="H26" i="70"/>
  <c r="H29" i="70"/>
  <c r="H37" i="70"/>
  <c r="H46" i="70"/>
  <c r="H78" i="70"/>
  <c r="H11" i="70"/>
  <c r="H12" i="70"/>
  <c r="H13" i="70"/>
  <c r="H14" i="70"/>
  <c r="H15" i="70"/>
  <c r="H30" i="70"/>
  <c r="H24" i="70"/>
  <c r="H27" i="70"/>
  <c r="H41" i="70"/>
  <c r="H44" i="70"/>
  <c r="H73" i="70"/>
  <c r="H76" i="70"/>
  <c r="E53" i="70"/>
  <c r="E37" i="70"/>
  <c r="E21" i="70"/>
  <c r="K26" i="69" l="1" a="1"/>
  <c r="K26" i="69" s="1"/>
  <c r="L26" i="69" s="1" a="1"/>
  <c r="L26" i="69" s="1"/>
  <c r="M26" i="69" s="1"/>
  <c r="E34" i="69" a="1"/>
  <c r="E34" i="69" s="1"/>
  <c r="F34" i="69" s="1" a="1"/>
  <c r="F34" i="69" s="1"/>
  <c r="G34" i="69" s="1"/>
  <c r="E29" i="69" a="1"/>
  <c r="E29" i="69" s="1"/>
  <c r="F29" i="69" s="1" a="1"/>
  <c r="F29" i="69" s="1"/>
  <c r="G29" i="69" s="1"/>
  <c r="E28" i="69" a="1"/>
  <c r="E28" i="69" s="1"/>
  <c r="F28" i="69" s="1" a="1"/>
  <c r="F28" i="69" s="1"/>
  <c r="G28" i="69" s="1"/>
  <c r="E36" i="69" a="1"/>
  <c r="E36" i="69" s="1"/>
  <c r="F36" i="69" s="1" a="1"/>
  <c r="F36" i="69" s="1"/>
  <c r="G36" i="69" s="1"/>
  <c r="E30" i="69" a="1"/>
  <c r="E30" i="69" s="1"/>
  <c r="F30" i="69" s="1" a="1"/>
  <c r="F30" i="69" s="1"/>
  <c r="G30" i="69" s="1"/>
  <c r="E37" i="69" a="1"/>
  <c r="E37" i="69" s="1"/>
  <c r="F37" i="69" s="1" a="1"/>
  <c r="F37" i="69" s="1"/>
  <c r="G37" i="69" s="1"/>
  <c r="E32" i="69" a="1"/>
  <c r="E32" i="69" s="1"/>
  <c r="F32" i="69" s="1" a="1"/>
  <c r="F32" i="69" s="1"/>
  <c r="G32" i="69" s="1"/>
  <c r="E35" i="69" a="1"/>
  <c r="E35" i="69" s="1"/>
  <c r="F35" i="69" s="1" a="1"/>
  <c r="F35" i="69" s="1"/>
  <c r="G35" i="69" s="1"/>
  <c r="E33" i="69" a="1"/>
  <c r="E33" i="69" s="1"/>
  <c r="F33" i="69" s="1" a="1"/>
  <c r="F33" i="69" s="1"/>
  <c r="G33" i="69" s="1"/>
  <c r="E31" i="69" a="1"/>
  <c r="E31" i="69" s="1"/>
  <c r="F31" i="69" s="1" a="1"/>
  <c r="F31" i="69" s="1"/>
  <c r="G31" i="69" s="1"/>
  <c r="E26" i="69" a="1"/>
  <c r="E26" i="69" s="1"/>
  <c r="F26" i="69" s="1" a="1"/>
  <c r="F26" i="69" s="1"/>
  <c r="G26" i="69" s="1"/>
  <c r="K47" i="69" a="1"/>
  <c r="K47" i="69" s="1"/>
  <c r="L47" i="69" s="1" a="1"/>
  <c r="L47" i="69" s="1"/>
  <c r="M47" i="69" s="1"/>
  <c r="K50" i="69" a="1"/>
  <c r="K50" i="69" s="1"/>
  <c r="L50" i="69" s="1" a="1"/>
  <c r="L50" i="69" s="1"/>
  <c r="M50" i="69" s="1"/>
  <c r="K52" i="69" a="1"/>
  <c r="K52" i="69" s="1"/>
  <c r="L52" i="69" s="1" a="1"/>
  <c r="L52" i="69" s="1"/>
  <c r="M52" i="69" s="1"/>
  <c r="K51" i="69" a="1"/>
  <c r="K51" i="69" s="1"/>
  <c r="L51" i="69" s="1" a="1"/>
  <c r="L51" i="69" s="1"/>
  <c r="M51" i="69" s="1"/>
  <c r="K49" i="69" a="1"/>
  <c r="K49" i="69" s="1"/>
  <c r="L49" i="69" s="1" a="1"/>
  <c r="L49" i="69" s="1"/>
  <c r="M49" i="69" s="1"/>
  <c r="K44" i="69" a="1"/>
  <c r="K44" i="69" s="1"/>
  <c r="L44" i="69" s="1" a="1"/>
  <c r="L44" i="69" s="1"/>
  <c r="M44" i="69" s="1"/>
  <c r="K46" i="69" a="1"/>
  <c r="K46" i="69" s="1"/>
  <c r="L46" i="69" s="1" a="1"/>
  <c r="L46" i="69" s="1"/>
  <c r="M46" i="69" s="1"/>
  <c r="K43" i="69" a="1"/>
  <c r="K43" i="69" s="1"/>
  <c r="K45" i="69" a="1"/>
  <c r="K45" i="69" s="1"/>
  <c r="L45" i="69" s="1" a="1"/>
  <c r="L45" i="69" s="1"/>
  <c r="M45" i="69" s="1"/>
  <c r="K48" i="69" a="1"/>
  <c r="K48" i="69" s="1"/>
  <c r="L48" i="69" s="1" a="1"/>
  <c r="L48" i="69" s="1"/>
  <c r="M48" i="69" s="1"/>
  <c r="S79" i="69"/>
  <c r="R84" i="69"/>
  <c r="S43" i="69"/>
  <c r="R48" i="69"/>
  <c r="K83" i="69" a="1"/>
  <c r="K83" i="69" s="1"/>
  <c r="L83" i="69" s="1" a="1"/>
  <c r="L83" i="69" s="1"/>
  <c r="M83" i="69" s="1"/>
  <c r="K86" i="69" a="1"/>
  <c r="K86" i="69" s="1"/>
  <c r="L86" i="69" s="1" a="1"/>
  <c r="L86" i="69" s="1"/>
  <c r="M86" i="69" s="1"/>
  <c r="K80" i="69" a="1"/>
  <c r="K80" i="69" s="1"/>
  <c r="L80" i="69" s="1" a="1"/>
  <c r="L80" i="69" s="1"/>
  <c r="M80" i="69" s="1"/>
  <c r="K85" i="69" a="1"/>
  <c r="K85" i="69" s="1"/>
  <c r="L85" i="69" s="1" a="1"/>
  <c r="L85" i="69" s="1"/>
  <c r="M85" i="69" s="1"/>
  <c r="K79" i="69" a="1"/>
  <c r="K79" i="69" s="1"/>
  <c r="K81" i="69" a="1"/>
  <c r="K81" i="69" s="1"/>
  <c r="L81" i="69" s="1" a="1"/>
  <c r="L81" i="69" s="1"/>
  <c r="M81" i="69" s="1"/>
  <c r="K82" i="69" a="1"/>
  <c r="K82" i="69" s="1"/>
  <c r="L82" i="69" s="1" a="1"/>
  <c r="L82" i="69" s="1"/>
  <c r="M82" i="69" s="1"/>
  <c r="K84" i="69" a="1"/>
  <c r="K84" i="69" s="1"/>
  <c r="L84" i="69" s="1" a="1"/>
  <c r="L84" i="69" s="1"/>
  <c r="M84" i="69" s="1"/>
  <c r="K87" i="69" a="1"/>
  <c r="K87" i="69" s="1"/>
  <c r="L87" i="69" s="1" a="1"/>
  <c r="L87" i="69" s="1"/>
  <c r="M87" i="69" s="1"/>
  <c r="K88" i="69" a="1"/>
  <c r="K88" i="69" s="1"/>
  <c r="L88" i="69" s="1" a="1"/>
  <c r="L88" i="69" s="1"/>
  <c r="M88" i="69" s="1"/>
  <c r="K62" i="69" a="1"/>
  <c r="K62" i="69" s="1"/>
  <c r="L62" i="69" s="1" a="1"/>
  <c r="L62" i="69" s="1"/>
  <c r="M62" i="69" s="1"/>
  <c r="K64" i="69" a="1"/>
  <c r="K64" i="69" s="1"/>
  <c r="L64" i="69" s="1" a="1"/>
  <c r="L64" i="69" s="1"/>
  <c r="M64" i="69" s="1"/>
  <c r="K69" i="69" a="1"/>
  <c r="K69" i="69" s="1"/>
  <c r="L69" i="69" s="1" a="1"/>
  <c r="L69" i="69" s="1"/>
  <c r="M69" i="69" s="1"/>
  <c r="K68" i="69" a="1"/>
  <c r="K68" i="69" s="1"/>
  <c r="L68" i="69" s="1" a="1"/>
  <c r="L68" i="69" s="1"/>
  <c r="M68" i="69" s="1"/>
  <c r="K70" i="69" a="1"/>
  <c r="K70" i="69" s="1"/>
  <c r="L70" i="69" s="1" a="1"/>
  <c r="L70" i="69" s="1"/>
  <c r="M70" i="69" s="1"/>
  <c r="K61" i="69" a="1"/>
  <c r="K61" i="69" s="1"/>
  <c r="K67" i="69" a="1"/>
  <c r="K67" i="69" s="1"/>
  <c r="L67" i="69" s="1" a="1"/>
  <c r="L67" i="69" s="1"/>
  <c r="M67" i="69" s="1"/>
  <c r="K63" i="69" a="1"/>
  <c r="K63" i="69" s="1"/>
  <c r="L63" i="69" s="1" a="1"/>
  <c r="L63" i="69" s="1"/>
  <c r="M63" i="69" s="1"/>
  <c r="K66" i="69" a="1"/>
  <c r="K66" i="69" s="1"/>
  <c r="L66" i="69" s="1" a="1"/>
  <c r="L66" i="69" s="1"/>
  <c r="M66" i="69" s="1"/>
  <c r="K65" i="69" a="1"/>
  <c r="K65" i="69" s="1"/>
  <c r="L65" i="69" s="1" a="1"/>
  <c r="L65" i="69" s="1"/>
  <c r="M65" i="69" s="1"/>
  <c r="S25" i="69"/>
  <c r="R30" i="69"/>
  <c r="S61" i="69"/>
  <c r="R66" i="69"/>
  <c r="K29" i="69" a="1"/>
  <c r="K29" i="69" s="1"/>
  <c r="L29" i="69" s="1" a="1"/>
  <c r="L29" i="69" s="1"/>
  <c r="M29" i="69" s="1"/>
  <c r="K27" i="69" a="1"/>
  <c r="K27" i="69" s="1"/>
  <c r="L27" i="69" s="1" a="1"/>
  <c r="L27" i="69" s="1"/>
  <c r="M27" i="69" s="1"/>
  <c r="K33" i="69" a="1"/>
  <c r="K33" i="69" s="1"/>
  <c r="L33" i="69" s="1" a="1"/>
  <c r="L33" i="69" s="1"/>
  <c r="M33" i="69" s="1"/>
  <c r="E70" i="70"/>
  <c r="E69" i="70"/>
  <c r="K31" i="69" l="1" a="1"/>
  <c r="K31" i="69" s="1"/>
  <c r="L31" i="69" s="1" a="1"/>
  <c r="L31" i="69" s="1"/>
  <c r="M31" i="69" s="1"/>
  <c r="K30" i="69" a="1"/>
  <c r="K30" i="69" s="1"/>
  <c r="L30" i="69" s="1" a="1"/>
  <c r="L30" i="69" s="1"/>
  <c r="M30" i="69" s="1"/>
  <c r="K34" i="69" a="1"/>
  <c r="K34" i="69" s="1"/>
  <c r="L34" i="69" s="1" a="1"/>
  <c r="L34" i="69" s="1"/>
  <c r="M34" i="69" s="1"/>
  <c r="K32" i="69" a="1"/>
  <c r="K32" i="69" s="1"/>
  <c r="L32" i="69" s="1" a="1"/>
  <c r="L32" i="69" s="1"/>
  <c r="M32" i="69" s="1"/>
  <c r="K25" i="69" a="1"/>
  <c r="K25" i="69" s="1"/>
  <c r="L25" i="69" s="1" a="1"/>
  <c r="L25" i="69" s="1"/>
  <c r="K28" i="69" a="1"/>
  <c r="K28" i="69" s="1"/>
  <c r="L28" i="69" s="1" a="1"/>
  <c r="L28" i="69" s="1"/>
  <c r="M28" i="69" s="1"/>
  <c r="L43" i="69" a="1"/>
  <c r="L43" i="69" s="1"/>
  <c r="K53" i="69"/>
  <c r="K89" i="69"/>
  <c r="L79" i="69" a="1"/>
  <c r="L79" i="69" s="1"/>
  <c r="K71" i="69"/>
  <c r="L61" i="69" a="1"/>
  <c r="L61" i="69" s="1"/>
  <c r="K35" i="69" l="1"/>
  <c r="M61" i="69"/>
  <c r="L71" i="69"/>
  <c r="M43" i="69"/>
  <c r="L53" i="69"/>
  <c r="M79" i="69"/>
  <c r="L89" i="69"/>
  <c r="M25" i="69"/>
  <c r="L35" i="69"/>
  <c r="C47" i="2" l="1"/>
  <c r="B9" i="11" l="1"/>
  <c r="F58" i="1" l="1"/>
  <c r="G19" i="1"/>
  <c r="G58" i="1" l="1"/>
  <c r="E3" i="66"/>
  <c r="E2" i="66" l="1"/>
  <c r="F15" i="66"/>
  <c r="E15" i="66"/>
  <c r="F14" i="66"/>
  <c r="E14" i="66"/>
  <c r="F13" i="66"/>
  <c r="E13" i="66"/>
  <c r="F12" i="66"/>
  <c r="E12" i="66"/>
  <c r="F11" i="66"/>
  <c r="E11" i="66"/>
  <c r="F10" i="66"/>
  <c r="E10" i="66"/>
  <c r="F9" i="66"/>
  <c r="E9" i="66"/>
  <c r="F8" i="66"/>
  <c r="E8" i="66"/>
  <c r="F7" i="66"/>
  <c r="E7" i="66"/>
  <c r="F6" i="66"/>
  <c r="E6" i="66"/>
  <c r="F5" i="66"/>
  <c r="E5" i="66"/>
  <c r="F4" i="66"/>
  <c r="E4" i="66"/>
  <c r="F3" i="66"/>
  <c r="F2" i="66"/>
  <c r="B10" i="11" l="1"/>
  <c r="G74" i="1" l="1"/>
  <c r="A48" i="68"/>
  <c r="A63" i="68"/>
  <c r="A33" i="68"/>
  <c r="A18" i="68"/>
  <c r="F10" i="54" l="1"/>
  <c r="F11" i="54"/>
  <c r="F12" i="54"/>
  <c r="F13" i="54"/>
  <c r="F9" i="54"/>
  <c r="G1" i="54" l="1"/>
  <c r="E10" i="54"/>
  <c r="E11" i="54"/>
  <c r="E12" i="54"/>
  <c r="E9" i="54"/>
  <c r="E13" i="54"/>
  <c r="C7" i="105" l="1"/>
  <c r="A2" i="121" s="1"/>
  <c r="B6" i="45" l="1"/>
  <c r="A121" i="1"/>
  <c r="B16" i="44"/>
  <c r="B13" i="44"/>
  <c r="B10" i="44"/>
  <c r="G6" i="45" l="1"/>
  <c r="J6" i="45"/>
  <c r="H6" i="45"/>
  <c r="P6" i="45"/>
  <c r="L6" i="45"/>
  <c r="N6" i="45"/>
  <c r="O6" i="45"/>
  <c r="K6" i="45"/>
  <c r="M6" i="45"/>
  <c r="I6" i="45"/>
  <c r="R6" i="45"/>
  <c r="Q6" i="45"/>
  <c r="F6" i="45"/>
  <c r="D6" i="45"/>
  <c r="C6" i="45"/>
  <c r="E6" i="45"/>
  <c r="B4" i="45"/>
  <c r="B5" i="45"/>
  <c r="B3" i="45"/>
  <c r="B2" i="45"/>
  <c r="C41" i="2"/>
  <c r="G3" i="45" l="1"/>
  <c r="CE4" i="32" s="1" a="1"/>
  <c r="CE4" i="32" s="1"/>
  <c r="J3" i="45"/>
  <c r="CR2" i="32" s="1" a="1"/>
  <c r="CR2" i="32" s="1"/>
  <c r="H3" i="45"/>
  <c r="G5" i="45"/>
  <c r="CE6" i="32" s="1" a="1"/>
  <c r="CE6" i="32" s="1"/>
  <c r="H5" i="45"/>
  <c r="J5" i="45"/>
  <c r="J2" i="45"/>
  <c r="H2" i="45"/>
  <c r="CF2" i="32" s="1" a="1"/>
  <c r="CF2" i="32" s="1"/>
  <c r="DX2" i="32" a="1"/>
  <c r="DX2" i="32" s="1"/>
  <c r="DV2" i="32" a="1"/>
  <c r="DV2" i="32" s="1"/>
  <c r="DR2" i="32" a="1"/>
  <c r="DR2" i="32" s="1"/>
  <c r="DL2" i="32" a="1"/>
  <c r="DL2" i="32" s="1"/>
  <c r="DW2" i="32" a="1"/>
  <c r="DW2" i="32" s="1"/>
  <c r="DU2" i="32" a="1"/>
  <c r="DU2" i="32" s="1"/>
  <c r="DQ2" i="32" a="1"/>
  <c r="DQ2" i="32" s="1"/>
  <c r="DS2" i="32" a="1"/>
  <c r="DS2" i="32" s="1"/>
  <c r="DT2" i="32" a="1"/>
  <c r="DT2" i="32" s="1"/>
  <c r="DP2" i="32" a="1"/>
  <c r="DP2" i="32" s="1"/>
  <c r="DJ2" i="32" a="1"/>
  <c r="DJ2" i="32" s="1"/>
  <c r="DO2" i="32" a="1"/>
  <c r="DO2" i="32" s="1"/>
  <c r="G4" i="45"/>
  <c r="CY2" i="32" s="1" a="1"/>
  <c r="CY2" i="32" s="1"/>
  <c r="J4" i="45"/>
  <c r="DB2" i="32" s="1" a="1"/>
  <c r="DB2" i="32" s="1"/>
  <c r="H4" i="45"/>
  <c r="CZ2" i="32" s="1" a="1"/>
  <c r="CZ2" i="32" s="1"/>
  <c r="EJ2" i="32"/>
  <c r="CE7" i="32" a="1"/>
  <c r="CE7" i="32" s="1"/>
  <c r="CO2" i="32" a="1"/>
  <c r="CO2" i="32" s="1"/>
  <c r="CP2" i="32" a="1"/>
  <c r="CP2" i="32" s="1"/>
  <c r="G2" i="45"/>
  <c r="CE2" i="32" s="1" a="1"/>
  <c r="CE2" i="32" s="1"/>
  <c r="CF7" i="32" a="1"/>
  <c r="CF7" i="32" s="1"/>
  <c r="CA7" i="32" a="1"/>
  <c r="CA7" i="32" s="1"/>
  <c r="F7" i="32" s="1"/>
  <c r="N2" i="45"/>
  <c r="O2" i="45"/>
  <c r="CC7" i="32" a="1"/>
  <c r="CC7" i="32" s="1"/>
  <c r="CJ7" i="32" a="1"/>
  <c r="CJ7" i="32" s="1"/>
  <c r="CH7" i="32" a="1"/>
  <c r="CH7" i="32" s="1"/>
  <c r="CD7" i="32" a="1"/>
  <c r="CD7" i="32" s="1"/>
  <c r="L2" i="45"/>
  <c r="CB7" i="32" a="1"/>
  <c r="CB7" i="32" s="1"/>
  <c r="CI7" i="32" a="1"/>
  <c r="CI7" i="32" s="1"/>
  <c r="M2" i="45"/>
  <c r="K2" i="45"/>
  <c r="P2" i="45"/>
  <c r="CG7" i="32" a="1"/>
  <c r="CG7" i="32" s="1"/>
  <c r="P4" i="45"/>
  <c r="L4" i="45"/>
  <c r="N4" i="45"/>
  <c r="M4" i="45"/>
  <c r="K4" i="45"/>
  <c r="O4" i="45"/>
  <c r="N3" i="45"/>
  <c r="P3" i="45"/>
  <c r="L3" i="45"/>
  <c r="K3" i="45"/>
  <c r="M3" i="45"/>
  <c r="O3" i="45"/>
  <c r="N5" i="45"/>
  <c r="P5" i="45"/>
  <c r="L5" i="45"/>
  <c r="O5" i="45"/>
  <c r="M5" i="45"/>
  <c r="K5" i="45"/>
  <c r="I5" i="45"/>
  <c r="CG6" i="32" s="1" a="1"/>
  <c r="CG6" i="32" s="1"/>
  <c r="CH2" i="32" a="1"/>
  <c r="CH2" i="32" s="1"/>
  <c r="I2" i="45"/>
  <c r="CG3" i="32" s="1" a="1"/>
  <c r="CG3" i="32" s="1"/>
  <c r="I4" i="45"/>
  <c r="DA2" i="32" s="1" a="1"/>
  <c r="DA2" i="32" s="1"/>
  <c r="I3" i="45"/>
  <c r="CQ2" i="32" s="1" a="1"/>
  <c r="CQ2" i="32" s="1"/>
  <c r="CH4" i="32" a="1"/>
  <c r="CH4" i="32" s="1"/>
  <c r="G24" i="1"/>
  <c r="R3" i="45"/>
  <c r="CT2" i="32" s="1" a="1"/>
  <c r="CT2" i="32" s="1"/>
  <c r="Q3" i="45"/>
  <c r="CS2" i="32" s="1" a="1"/>
  <c r="CS2" i="32" s="1"/>
  <c r="R5" i="45"/>
  <c r="DN2" i="32" s="1" a="1"/>
  <c r="DN2" i="32" s="1"/>
  <c r="Q5" i="45"/>
  <c r="DM2" i="32" s="1" a="1"/>
  <c r="DM2" i="32" s="1"/>
  <c r="R2" i="45"/>
  <c r="CJ2" i="32" s="1" a="1"/>
  <c r="CJ2" i="32" s="1"/>
  <c r="Q2" i="45"/>
  <c r="CI2" i="32" s="1" a="1"/>
  <c r="CI2" i="32" s="1"/>
  <c r="R4" i="45"/>
  <c r="DD2" i="32" s="1" a="1"/>
  <c r="DD2" i="32" s="1"/>
  <c r="Q4" i="45"/>
  <c r="DC2" i="32" s="1" a="1"/>
  <c r="DC2" i="32" s="1"/>
  <c r="D5" i="45"/>
  <c r="C5" i="45"/>
  <c r="E5" i="45"/>
  <c r="DG2" i="32" s="1" a="1"/>
  <c r="DG2" i="32" s="1"/>
  <c r="F5" i="45"/>
  <c r="DH2" i="32" s="1" a="1"/>
  <c r="DH2" i="32" s="1"/>
  <c r="F2" i="45"/>
  <c r="CD2" i="32" s="1" a="1"/>
  <c r="CD2" i="32" s="1"/>
  <c r="D2" i="45"/>
  <c r="C2" i="45"/>
  <c r="E2" i="45"/>
  <c r="CC2" i="32" s="1" a="1"/>
  <c r="CC2" i="32" s="1"/>
  <c r="E3" i="45"/>
  <c r="CM2" i="32" s="1" a="1"/>
  <c r="CM2" i="32" s="1"/>
  <c r="F3" i="45"/>
  <c r="CN2" i="32" s="1" a="1"/>
  <c r="CN2" i="32" s="1"/>
  <c r="D3" i="45"/>
  <c r="C3" i="45"/>
  <c r="C4" i="45"/>
  <c r="E4" i="45"/>
  <c r="CW2" i="32" s="1" a="1"/>
  <c r="CW2" i="32" s="1"/>
  <c r="F4" i="45"/>
  <c r="CX2" i="32" s="1" a="1"/>
  <c r="CX2" i="32" s="1"/>
  <c r="D4" i="45"/>
  <c r="CH5" i="32" l="1" a="1"/>
  <c r="CH5" i="32" s="1"/>
  <c r="DI2" i="32" a="1"/>
  <c r="DI2" i="32" s="1"/>
  <c r="CE5" i="32" a="1"/>
  <c r="CE5" i="32" s="1"/>
  <c r="CE3" i="32" a="1"/>
  <c r="CE3" i="32" s="1"/>
  <c r="CV2" i="32" a="1"/>
  <c r="CV2" i="32" s="1"/>
  <c r="DK2" i="32" a="1"/>
  <c r="DK2" i="32" s="1"/>
  <c r="CL2" i="32" a="1"/>
  <c r="CL2" i="32" s="1"/>
  <c r="CK2" i="32" a="1"/>
  <c r="CK2" i="32" s="1"/>
  <c r="CU2" i="32" a="1"/>
  <c r="CU2" i="32" s="1"/>
  <c r="DF2" i="32" a="1"/>
  <c r="DF2" i="32" s="1"/>
  <c r="DE2" i="32" a="1"/>
  <c r="DE2" i="32" s="1"/>
  <c r="CG2" i="32" a="1"/>
  <c r="CG2" i="32" s="1"/>
  <c r="CD4" i="32" a="1"/>
  <c r="CD4" i="32" s="1"/>
  <c r="CC3" i="32" a="1"/>
  <c r="CC3" i="32" s="1"/>
  <c r="CF4" i="32" a="1"/>
  <c r="CF4" i="32" s="1"/>
  <c r="CG5" i="32" a="1"/>
  <c r="CG5" i="32" s="1"/>
  <c r="CH6" i="32" a="1"/>
  <c r="CH6" i="32" s="1"/>
  <c r="CG4" i="32" a="1"/>
  <c r="CG4" i="32" s="1"/>
  <c r="CJ4" i="32" a="1"/>
  <c r="CJ4" i="32" s="1"/>
  <c r="CJ3" i="32" a="1"/>
  <c r="CJ3" i="32" s="1"/>
  <c r="CI6" i="32" a="1"/>
  <c r="CI6" i="32" s="1"/>
  <c r="CB3" i="32" a="1"/>
  <c r="CB3" i="32" s="1"/>
  <c r="CC5" i="32" a="1"/>
  <c r="CC5" i="32" s="1"/>
  <c r="CA6" i="32" a="1"/>
  <c r="CA6" i="32" s="1"/>
  <c r="F6" i="32" s="1"/>
  <c r="CF3" i="32" a="1"/>
  <c r="CF3" i="32" s="1"/>
  <c r="CA5" i="32" a="1"/>
  <c r="CA5" i="32" s="1"/>
  <c r="F5" i="32" s="1"/>
  <c r="CB6" i="32" a="1"/>
  <c r="CB6" i="32" s="1"/>
  <c r="CI5" i="32" a="1"/>
  <c r="CI5" i="32" s="1"/>
  <c r="CJ6" i="32" a="1"/>
  <c r="CJ6" i="32" s="1"/>
  <c r="CH3" i="32" a="1"/>
  <c r="CH3" i="32" s="1"/>
  <c r="CI4" i="32" a="1"/>
  <c r="CI4" i="32" s="1"/>
  <c r="CJ5" i="32" a="1"/>
  <c r="CJ5" i="32" s="1"/>
  <c r="CF6" i="32" a="1"/>
  <c r="CF6" i="32" s="1"/>
  <c r="CA3" i="32" a="1"/>
  <c r="CA3" i="32" s="1"/>
  <c r="F3" i="32" s="1"/>
  <c r="CC4" i="32" a="1"/>
  <c r="CC4" i="32" s="1"/>
  <c r="CF5" i="32" a="1"/>
  <c r="CF5" i="32" s="1"/>
  <c r="CI3" i="32" a="1"/>
  <c r="CI3" i="32" s="1"/>
  <c r="CA4" i="32" a="1"/>
  <c r="CA4" i="32" s="1"/>
  <c r="F4" i="32" s="1"/>
  <c r="CB5" i="32" a="1"/>
  <c r="CB5" i="32" s="1"/>
  <c r="CD6" i="32" a="1"/>
  <c r="CD6" i="32" s="1"/>
  <c r="CD3" i="32" a="1"/>
  <c r="CD3" i="32" s="1"/>
  <c r="CB4" i="32" a="1"/>
  <c r="CB4" i="32" s="1"/>
  <c r="CD5" i="32" a="1"/>
  <c r="CD5" i="32" s="1"/>
  <c r="CC6" i="32" a="1"/>
  <c r="CC6" i="32" s="1"/>
  <c r="CB2" i="32" a="1"/>
  <c r="CB2" i="32" s="1"/>
  <c r="CA2" i="32" a="1"/>
  <c r="CA2" i="32" s="1"/>
  <c r="B63" i="68"/>
  <c r="B3" i="68" l="1" a="1"/>
  <c r="B3" i="68" s="1"/>
  <c r="C3" i="70" a="1"/>
  <c r="C3" i="70" s="1"/>
  <c r="K5" i="69"/>
  <c r="E5" i="69"/>
  <c r="Q5" i="69"/>
  <c r="B48" i="68"/>
  <c r="B33" i="68"/>
  <c r="B18" i="68"/>
  <c r="A4" i="29" l="1" a="1"/>
  <c r="A4" i="29" s="1"/>
  <c r="A1" i="41" a="1"/>
  <c r="A1" i="41" s="1"/>
  <c r="A1" i="67" a="1"/>
  <c r="A1" i="67" s="1"/>
  <c r="A1" i="29" a="1"/>
  <c r="A1" i="29" s="1"/>
  <c r="A1" i="44" a="1"/>
  <c r="A1" i="44" s="1"/>
  <c r="A1" i="12" a="1"/>
  <c r="A1" i="12" s="1"/>
  <c r="A1" i="40" a="1"/>
  <c r="A1" i="40" s="1"/>
  <c r="A1" i="43" a="1"/>
  <c r="A1" i="43" s="1"/>
  <c r="A1" i="8" a="1"/>
  <c r="A1" i="8" s="1"/>
  <c r="A1" i="11" a="1"/>
  <c r="A1" i="11" s="1"/>
  <c r="A1" i="10" a="1"/>
  <c r="A1" i="10" s="1"/>
  <c r="A1" i="38" a="1"/>
  <c r="A1" i="38" s="1"/>
  <c r="A1" i="119" a="1"/>
  <c r="A1" i="119" s="1"/>
  <c r="A1" i="30" a="1"/>
  <c r="A1" i="30" s="1"/>
  <c r="A1" i="54" a="1"/>
  <c r="A1" i="54" s="1"/>
  <c r="F5" i="2"/>
  <c r="F14" i="2"/>
  <c r="BE6" i="32" a="1"/>
  <c r="BE6" i="32" s="1"/>
  <c r="BE5" i="32" a="1"/>
  <c r="BE5" i="32" s="1"/>
  <c r="BE4" i="32" a="1"/>
  <c r="BE4" i="32" s="1"/>
  <c r="BE3" i="32" a="1"/>
  <c r="BE3" i="32" s="1"/>
  <c r="BE7" i="32" a="1"/>
  <c r="BE7" i="32" s="1"/>
  <c r="BL2" i="32" a="1"/>
  <c r="BL2" i="32" s="1"/>
  <c r="BL5" i="32" a="1"/>
  <c r="BL5" i="32" s="1"/>
  <c r="BL4" i="32" a="1"/>
  <c r="BL4" i="32" s="1"/>
  <c r="BL3" i="32" a="1"/>
  <c r="BL3" i="32" s="1"/>
  <c r="BL7" i="32" a="1"/>
  <c r="BL7" i="32" s="1"/>
  <c r="BL6" i="32" a="1"/>
  <c r="BL6" i="32" s="1"/>
  <c r="BE2" i="32" a="1"/>
  <c r="BE2" i="32" s="1"/>
  <c r="G26" i="41"/>
  <c r="G27" i="41"/>
  <c r="G28" i="41" l="1"/>
  <c r="G25" i="41"/>
  <c r="C2" i="2" l="1"/>
  <c r="C3" i="2"/>
  <c r="G3" i="2" s="1"/>
  <c r="C4" i="2"/>
  <c r="G4" i="2" s="1"/>
  <c r="C5" i="2"/>
  <c r="G5" i="2" s="1"/>
  <c r="C7" i="2"/>
  <c r="G7" i="2" s="1"/>
  <c r="C8" i="2"/>
  <c r="G8" i="2" s="1"/>
  <c r="C9" i="2"/>
  <c r="G9" i="2" s="1"/>
  <c r="C10" i="2"/>
  <c r="G10" i="2" s="1"/>
  <c r="C11" i="2"/>
  <c r="B28" i="44" l="1"/>
  <c r="G22" i="44" l="1"/>
  <c r="B22" i="44"/>
  <c r="G21" i="44"/>
  <c r="G23" i="44"/>
  <c r="G26" i="44"/>
  <c r="G27" i="44"/>
  <c r="B26" i="44"/>
  <c r="B27" i="44"/>
  <c r="B20" i="44"/>
  <c r="G30" i="44"/>
  <c r="B21" i="44"/>
  <c r="B30" i="44"/>
  <c r="B6" i="44"/>
  <c r="B25" i="44"/>
  <c r="G29" i="44"/>
  <c r="B23" i="44"/>
  <c r="B29" i="44"/>
  <c r="G28" i="44"/>
  <c r="G9" i="44" l="1"/>
  <c r="G1" i="44" l="1"/>
  <c r="C16" i="105" l="1"/>
  <c r="A29" i="121" s="1"/>
  <c r="B11" i="43" l="1"/>
  <c r="G10" i="43"/>
  <c r="G11" i="43"/>
  <c r="G36" i="119" s="1"/>
  <c r="G9" i="43"/>
  <c r="G1" i="43" s="1"/>
  <c r="C15" i="105" l="1"/>
  <c r="A26" i="121" s="1"/>
  <c r="G23" i="11"/>
  <c r="G22" i="11"/>
  <c r="G21" i="11"/>
  <c r="G20" i="11"/>
  <c r="G19" i="11"/>
  <c r="G13" i="11"/>
  <c r="G34" i="119" s="1"/>
  <c r="G12" i="11"/>
  <c r="G33" i="119" s="1"/>
  <c r="G11" i="11"/>
  <c r="G32" i="119" s="1"/>
  <c r="G10" i="11"/>
  <c r="G31" i="119" s="1"/>
  <c r="G23" i="30"/>
  <c r="G22" i="30"/>
  <c r="G21" i="30"/>
  <c r="G20" i="30"/>
  <c r="G18" i="30"/>
  <c r="G17" i="30"/>
  <c r="G16" i="30"/>
  <c r="G15" i="30"/>
  <c r="G14" i="30"/>
  <c r="G13" i="30"/>
  <c r="G12" i="30"/>
  <c r="G11" i="30"/>
  <c r="G10" i="30"/>
  <c r="G9" i="30"/>
  <c r="G24" i="30" s="1"/>
  <c r="G29" i="119" s="1"/>
  <c r="G21" i="10"/>
  <c r="G27" i="119" s="1"/>
  <c r="G20" i="10"/>
  <c r="G17" i="10"/>
  <c r="G16" i="10"/>
  <c r="G15" i="10"/>
  <c r="G14" i="10"/>
  <c r="G13" i="10"/>
  <c r="G12" i="10"/>
  <c r="G11" i="10"/>
  <c r="G18" i="10" s="1"/>
  <c r="G25" i="119" s="1"/>
  <c r="G30" i="41"/>
  <c r="G24" i="41"/>
  <c r="G23" i="41"/>
  <c r="G22" i="41"/>
  <c r="G21" i="41"/>
  <c r="G20" i="41"/>
  <c r="G19" i="41"/>
  <c r="K26" i="40"/>
  <c r="K25" i="40"/>
  <c r="K24" i="40"/>
  <c r="K23" i="40"/>
  <c r="K22" i="40"/>
  <c r="K21" i="40"/>
  <c r="K20" i="40"/>
  <c r="K19" i="40"/>
  <c r="K18" i="40"/>
  <c r="K17" i="40"/>
  <c r="K15" i="40"/>
  <c r="K14" i="40"/>
  <c r="K13" i="40"/>
  <c r="B12" i="40"/>
  <c r="K11" i="40"/>
  <c r="G48" i="8"/>
  <c r="G47" i="8"/>
  <c r="G46" i="8"/>
  <c r="G45" i="8"/>
  <c r="G44" i="8"/>
  <c r="G42" i="8"/>
  <c r="G41" i="8"/>
  <c r="G40" i="8"/>
  <c r="G39" i="8"/>
  <c r="G38" i="8"/>
  <c r="G36" i="8"/>
  <c r="G35" i="8"/>
  <c r="G34" i="8"/>
  <c r="G33" i="8"/>
  <c r="G32" i="8"/>
  <c r="G31" i="8"/>
  <c r="G30" i="8"/>
  <c r="G28" i="8"/>
  <c r="G27" i="8"/>
  <c r="G26" i="8"/>
  <c r="G25" i="8"/>
  <c r="G23" i="8"/>
  <c r="G22" i="8"/>
  <c r="G23" i="119" s="1"/>
  <c r="G21" i="8"/>
  <c r="G20" i="8"/>
  <c r="G22" i="119" s="1"/>
  <c r="G19" i="8"/>
  <c r="G18" i="8"/>
  <c r="G17" i="8"/>
  <c r="G16" i="8"/>
  <c r="G15" i="8"/>
  <c r="G14" i="8"/>
  <c r="G13" i="8"/>
  <c r="G12" i="8"/>
  <c r="G11" i="8"/>
  <c r="G10" i="8"/>
  <c r="G9" i="8"/>
  <c r="C49" i="2"/>
  <c r="C48" i="2"/>
  <c r="G48" i="2" s="1"/>
  <c r="C21" i="2"/>
  <c r="G21" i="2" s="1"/>
  <c r="C20" i="2"/>
  <c r="G20" i="2" s="1"/>
  <c r="C16" i="2"/>
  <c r="G16" i="2" s="1"/>
  <c r="C14" i="2"/>
  <c r="G14" i="2" s="1"/>
  <c r="C12" i="2"/>
  <c r="G12" i="2" s="1"/>
  <c r="G102" i="1"/>
  <c r="G1" i="8" l="1"/>
  <c r="K1" i="40"/>
  <c r="I91" i="36" a="1"/>
  <c r="I91" i="36" s="1"/>
  <c r="I47" i="36" a="1"/>
  <c r="I47" i="36" s="1"/>
  <c r="I124" i="36" a="1"/>
  <c r="I124" i="36" s="1"/>
  <c r="I102" i="36" a="1"/>
  <c r="I102" i="36" s="1"/>
  <c r="I280" i="36" a="1"/>
  <c r="I280" i="36" s="1"/>
  <c r="I291" i="36" a="1"/>
  <c r="I291" i="36" s="1"/>
  <c r="I191" i="36" a="1"/>
  <c r="I191" i="36" s="1"/>
  <c r="I224" i="36" a="1"/>
  <c r="I224" i="36" s="1"/>
  <c r="I36" i="36" a="1"/>
  <c r="I36" i="36" s="1"/>
  <c r="I14" i="36" a="1"/>
  <c r="I14" i="36" s="1"/>
  <c r="I58" i="36" a="1"/>
  <c r="I58" i="36" s="1"/>
  <c r="I235" i="36" a="1"/>
  <c r="I235" i="36" s="1"/>
  <c r="I258" i="36" a="1"/>
  <c r="I258" i="36" s="1"/>
  <c r="I202" i="36" a="1"/>
  <c r="I202" i="36" s="1"/>
  <c r="I158" i="36" a="1"/>
  <c r="I158" i="36" s="1"/>
  <c r="I25" i="36" a="1"/>
  <c r="I25" i="36" s="1"/>
  <c r="E9" i="69" s="1" a="1"/>
  <c r="E9" i="69" s="1"/>
  <c r="F9" i="69" s="1" a="1"/>
  <c r="F9" i="69" s="1"/>
  <c r="G9" i="69" s="1"/>
  <c r="I3" i="36" a="1"/>
  <c r="I3" i="36" s="1"/>
  <c r="E7" i="69" s="1" a="1"/>
  <c r="E7" i="69" s="1"/>
  <c r="I80" i="36" a="1"/>
  <c r="I80" i="36" s="1"/>
  <c r="I302" i="36" a="1"/>
  <c r="I302" i="36" s="1"/>
  <c r="I169" i="36" a="1"/>
  <c r="I169" i="36" s="1"/>
  <c r="I213" i="36" a="1"/>
  <c r="I213" i="36" s="1"/>
  <c r="I180" i="36" a="1"/>
  <c r="I180" i="36" s="1"/>
  <c r="I113" i="36" a="1"/>
  <c r="I113" i="36" s="1"/>
  <c r="I135" i="36" a="1"/>
  <c r="I135" i="36" s="1"/>
  <c r="I69" i="36" a="1"/>
  <c r="I69" i="36" s="1"/>
  <c r="I246" i="36" a="1"/>
  <c r="I246" i="36" s="1"/>
  <c r="I269" i="36" a="1"/>
  <c r="I269" i="36" s="1"/>
  <c r="I147" i="36" a="1"/>
  <c r="I147" i="36" s="1"/>
  <c r="E63" i="69" a="1"/>
  <c r="E63" i="69" s="1"/>
  <c r="F63" i="69" s="1" a="1"/>
  <c r="F63" i="69" s="1"/>
  <c r="G63" i="69" s="1"/>
  <c r="E25" i="69" a="1"/>
  <c r="E25" i="69" s="1"/>
  <c r="E45" i="69" a="1"/>
  <c r="E45" i="69" s="1"/>
  <c r="F45" i="69" s="1" a="1"/>
  <c r="F45" i="69" s="1"/>
  <c r="G45" i="69" s="1"/>
  <c r="E27" i="69" a="1"/>
  <c r="E27" i="69" s="1"/>
  <c r="F27" i="69" s="1" a="1"/>
  <c r="F27" i="69" s="1"/>
  <c r="G27" i="69" s="1"/>
  <c r="F13" i="2"/>
  <c r="F61" i="1"/>
  <c r="AU6" i="32"/>
  <c r="AU4" i="32"/>
  <c r="AU3" i="32"/>
  <c r="AU7" i="32"/>
  <c r="AU5" i="32"/>
  <c r="K2" i="32"/>
  <c r="K4" i="32"/>
  <c r="K6" i="32"/>
  <c r="K7" i="32"/>
  <c r="K5" i="32"/>
  <c r="K3" i="32"/>
  <c r="BV7" i="32"/>
  <c r="BV3" i="32"/>
  <c r="BV5" i="32"/>
  <c r="BV4" i="32"/>
  <c r="BV6" i="32"/>
  <c r="BK2" i="32" a="1"/>
  <c r="BK2" i="32" s="1"/>
  <c r="BK4" i="32" a="1"/>
  <c r="BK4" i="32" s="1"/>
  <c r="BK7" i="32" a="1"/>
  <c r="BK7" i="32" s="1"/>
  <c r="BK3" i="32" a="1"/>
  <c r="BK3" i="32" s="1"/>
  <c r="BK6" i="32" a="1"/>
  <c r="BK6" i="32" s="1"/>
  <c r="BK5" i="32" a="1"/>
  <c r="BK5" i="32" s="1"/>
  <c r="AM4" i="32"/>
  <c r="AM6" i="32"/>
  <c r="AM7" i="32"/>
  <c r="AM3" i="32"/>
  <c r="AM5" i="32"/>
  <c r="AU2" i="32"/>
  <c r="G59" i="1"/>
  <c r="G49" i="1"/>
  <c r="BV2" i="32"/>
  <c r="C8" i="105"/>
  <c r="A5" i="121" s="1"/>
  <c r="C9" i="105"/>
  <c r="A8" i="121" s="1"/>
  <c r="G56" i="1"/>
  <c r="AM2" i="32"/>
  <c r="E5" i="70"/>
  <c r="G1" i="30"/>
  <c r="G1" i="41"/>
  <c r="C13" i="2"/>
  <c r="G13" i="2" s="1"/>
  <c r="G1" i="11"/>
  <c r="G19" i="10"/>
  <c r="G26" i="119" s="1"/>
  <c r="G103" i="1"/>
  <c r="C19" i="2"/>
  <c r="C18" i="2"/>
  <c r="C17" i="2"/>
  <c r="E43" i="69" l="1" a="1"/>
  <c r="E43" i="69" s="1"/>
  <c r="E56" i="69" s="1"/>
  <c r="E81" i="69" a="1"/>
  <c r="E81" i="69" s="1"/>
  <c r="F81" i="69" s="1" a="1"/>
  <c r="F81" i="69" s="1"/>
  <c r="G81" i="69" s="1"/>
  <c r="E61" i="69" a="1"/>
  <c r="E61" i="69" s="1"/>
  <c r="E79" i="69" a="1"/>
  <c r="E79" i="69" s="1"/>
  <c r="H2" i="36"/>
  <c r="F25" i="69" a="1"/>
  <c r="F25" i="69" s="1"/>
  <c r="G25" i="69" s="1"/>
  <c r="E38" i="69"/>
  <c r="F7" i="69" a="1"/>
  <c r="F7" i="69" s="1"/>
  <c r="G7" i="69" s="1"/>
  <c r="E20" i="69"/>
  <c r="BP2" i="32" a="1"/>
  <c r="BP2" i="32" s="1"/>
  <c r="BP7" i="32" a="1"/>
  <c r="BP7" i="32" s="1"/>
  <c r="BP5" i="32" a="1"/>
  <c r="BP5" i="32" s="1"/>
  <c r="BP3" i="32" a="1"/>
  <c r="BP3" i="32" s="1"/>
  <c r="BP4" i="32" a="1"/>
  <c r="BP4" i="32" s="1"/>
  <c r="BP6" i="32" a="1"/>
  <c r="BP6" i="32" s="1"/>
  <c r="G60" i="1"/>
  <c r="C10" i="105"/>
  <c r="A11" i="121" s="1"/>
  <c r="C13" i="105"/>
  <c r="A20" i="121" s="1"/>
  <c r="C12" i="105"/>
  <c r="A17" i="121" s="1"/>
  <c r="G1" i="119"/>
  <c r="C17" i="105" s="1"/>
  <c r="C44" i="2"/>
  <c r="G44" i="2" s="1"/>
  <c r="G46" i="2"/>
  <c r="B46" i="2" s="1"/>
  <c r="BQ8" i="32" s="1" a="1"/>
  <c r="BQ8" i="32" s="1"/>
  <c r="J1" i="1"/>
  <c r="G1" i="10"/>
  <c r="C11" i="105" s="1"/>
  <c r="A14" i="121" s="1"/>
  <c r="C42" i="2"/>
  <c r="F43" i="69" l="1" a="1"/>
  <c r="F43" i="69" s="1"/>
  <c r="G43" i="69" s="1"/>
  <c r="F46" i="2"/>
  <c r="E92" i="69"/>
  <c r="F79" i="69" a="1"/>
  <c r="F79" i="69" s="1"/>
  <c r="G79" i="69" s="1"/>
  <c r="F61" i="69" a="1"/>
  <c r="F61" i="69" s="1"/>
  <c r="G61" i="69" s="1"/>
  <c r="E74" i="69"/>
  <c r="H50" i="12" a="1"/>
  <c r="H50" i="12" s="1"/>
  <c r="BQ2" i="32" a="1"/>
  <c r="BQ2" i="32" s="1"/>
  <c r="BQ4" i="32" a="1"/>
  <c r="BQ4" i="32" s="1"/>
  <c r="BQ5" i="32" a="1"/>
  <c r="BQ5" i="32" s="1"/>
  <c r="BQ6" i="32" a="1"/>
  <c r="BQ6" i="32" s="1"/>
  <c r="BQ7" i="32" a="1"/>
  <c r="BQ7" i="32" s="1"/>
  <c r="BQ3" i="32" a="1"/>
  <c r="BQ3" i="32" s="1"/>
  <c r="F38" i="12" a="1"/>
  <c r="F38" i="12" s="1"/>
  <c r="H38" i="12" a="1"/>
  <c r="H38" i="12" s="1"/>
  <c r="C46" i="2"/>
  <c r="F50" i="12" a="1"/>
  <c r="F50" i="12" s="1"/>
  <c r="B50" i="12" s="1" a="1"/>
  <c r="B50" i="12" s="1"/>
  <c r="P2" i="36"/>
  <c r="H110" i="12" a="1"/>
  <c r="H110" i="12" s="1"/>
  <c r="H23" i="12" a="1"/>
  <c r="H23" i="12" s="1"/>
  <c r="H62" i="12" a="1"/>
  <c r="H62" i="12" s="1"/>
  <c r="H158" i="12" a="1"/>
  <c r="H158" i="12" s="1"/>
  <c r="H74" i="12" a="1"/>
  <c r="H74" i="12" s="1"/>
  <c r="H134" i="12" a="1"/>
  <c r="H134" i="12" s="1"/>
  <c r="H86" i="12" a="1"/>
  <c r="H86" i="12" s="1"/>
  <c r="H122" i="12" a="1"/>
  <c r="H122" i="12" s="1"/>
  <c r="H146" i="12" a="1"/>
  <c r="H146" i="12" s="1"/>
  <c r="H98" i="12" a="1"/>
  <c r="H98" i="12" s="1"/>
  <c r="H170" i="12" a="1"/>
  <c r="H170" i="12" s="1"/>
  <c r="C43" i="2"/>
  <c r="G50" i="12" l="1" a="1"/>
  <c r="G50" i="12" s="1"/>
  <c r="L50" i="12" s="1"/>
  <c r="G38" i="12" a="1"/>
  <c r="G38" i="12" s="1"/>
  <c r="B38" i="12" s="1" a="1"/>
  <c r="B38" i="12" s="1"/>
  <c r="L38" i="12" s="1"/>
  <c r="K1" i="2"/>
  <c r="G158" i="12" a="1"/>
  <c r="G158" i="12" s="1"/>
  <c r="G110" i="12" a="1"/>
  <c r="G110" i="12" s="1"/>
  <c r="G23" i="12" a="1"/>
  <c r="G23" i="12" s="1"/>
  <c r="G170" i="12" a="1"/>
  <c r="G170" i="12" s="1"/>
  <c r="G98" i="12" a="1"/>
  <c r="G98" i="12" s="1"/>
  <c r="F23" i="12" a="1"/>
  <c r="F23" i="12" s="1"/>
  <c r="B23" i="12" s="1" a="1"/>
  <c r="B23" i="12" s="1"/>
  <c r="G146" i="12" a="1"/>
  <c r="G146" i="12" s="1"/>
  <c r="G86" i="12" a="1"/>
  <c r="G86" i="12" s="1"/>
  <c r="G62" i="12" a="1"/>
  <c r="G62" i="12" s="1"/>
  <c r="G122" i="12" a="1"/>
  <c r="G122" i="12" s="1"/>
  <c r="G74" i="12" a="1"/>
  <c r="G74" i="12" s="1"/>
  <c r="G134" i="12" a="1"/>
  <c r="G134" i="12" s="1"/>
  <c r="F122" i="12" a="1"/>
  <c r="F122" i="12" s="1"/>
  <c r="F74" i="12" a="1"/>
  <c r="F74" i="12" s="1"/>
  <c r="F170" i="12" a="1"/>
  <c r="F170" i="12" s="1"/>
  <c r="F158" i="12" a="1"/>
  <c r="F158" i="12" s="1"/>
  <c r="F110" i="12" a="1"/>
  <c r="F110" i="12" s="1"/>
  <c r="F134" i="12" a="1"/>
  <c r="F134" i="12" s="1"/>
  <c r="F98" i="12" a="1"/>
  <c r="F98" i="12" s="1"/>
  <c r="F86" i="12" a="1"/>
  <c r="F86" i="12" s="1"/>
  <c r="B86" i="12" s="1" a="1"/>
  <c r="B86" i="12" s="1"/>
  <c r="L86" i="12" s="1"/>
  <c r="F146" i="12" a="1"/>
  <c r="F146" i="12" s="1"/>
  <c r="F62" i="12" a="1"/>
  <c r="F62" i="12" s="1"/>
  <c r="B98" i="12" l="1" a="1"/>
  <c r="B98" i="12" s="1"/>
  <c r="L98" i="12" s="1"/>
  <c r="B110" i="12" a="1"/>
  <c r="B110" i="12" s="1"/>
  <c r="L110" i="12" s="1"/>
  <c r="B170" i="12" a="1"/>
  <c r="B170" i="12" s="1"/>
  <c r="L170" i="12" s="1"/>
  <c r="B62" i="12" a="1"/>
  <c r="B62" i="12" s="1"/>
  <c r="L62" i="12" s="1"/>
  <c r="B158" i="12" a="1"/>
  <c r="B158" i="12" s="1"/>
  <c r="L158" i="12" s="1"/>
  <c r="B134" i="12" a="1"/>
  <c r="B134" i="12" s="1"/>
  <c r="L134" i="12" s="1"/>
  <c r="B146" i="12" a="1"/>
  <c r="B146" i="12" s="1"/>
  <c r="L146" i="12" s="1"/>
  <c r="B122" i="12" a="1"/>
  <c r="B122" i="12" s="1"/>
  <c r="L122" i="12" s="1"/>
  <c r="B74" i="12" a="1"/>
  <c r="B74" i="12" s="1"/>
  <c r="L74" i="12" s="1"/>
  <c r="L23" i="12"/>
  <c r="G1" i="12" l="1"/>
  <c r="C14" i="105" l="1"/>
  <c r="A23" i="1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<sst xmlns="http://schemas.openxmlformats.org/spreadsheetml/2006/main" count="4203" uniqueCount="1276">
  <si>
    <t>Project title</t>
  </si>
  <si>
    <t>Form of Contract</t>
  </si>
  <si>
    <t>Works, services or supplies</t>
  </si>
  <si>
    <t>Contract Duration (minimum)</t>
  </si>
  <si>
    <t>Contract Duration (maximum)</t>
  </si>
  <si>
    <t>Annually renewable basis</t>
  </si>
  <si>
    <t>Contract area</t>
  </si>
  <si>
    <t>Client (full name)</t>
  </si>
  <si>
    <t>Registered address</t>
  </si>
  <si>
    <t>Client (abbreviation, if applicable)</t>
  </si>
  <si>
    <t>Return date</t>
  </si>
  <si>
    <t>Issue date</t>
  </si>
  <si>
    <t>Clarification deadline</t>
  </si>
  <si>
    <t>Price split</t>
  </si>
  <si>
    <t>Leaseholders</t>
  </si>
  <si>
    <t>Contract award published</t>
  </si>
  <si>
    <t>Contract commencement date</t>
  </si>
  <si>
    <t>Max no. contractors to be appointed</t>
  </si>
  <si>
    <t>Query</t>
  </si>
  <si>
    <t>Response</t>
  </si>
  <si>
    <t>Title</t>
  </si>
  <si>
    <t>Date</t>
  </si>
  <si>
    <t>Insurance value - Employers</t>
  </si>
  <si>
    <t>Insurance value - PI</t>
  </si>
  <si>
    <t>N/A</t>
  </si>
  <si>
    <t>contract</t>
  </si>
  <si>
    <t>ACA Standard Form of Contract for Term Partnering (TPC 2005 – Amended 2008) published by The Association of Consultant Architects Ltd.  (ACA)</t>
  </si>
  <si>
    <t>Other (please provide info)</t>
  </si>
  <si>
    <t>Contract_List</t>
  </si>
  <si>
    <t>Evaluation start</t>
  </si>
  <si>
    <t>Evaluation end</t>
  </si>
  <si>
    <t>Client_Name</t>
  </si>
  <si>
    <t>Client</t>
  </si>
  <si>
    <t>Project_Title</t>
  </si>
  <si>
    <t>Registered_address</t>
  </si>
  <si>
    <t>Contract_area</t>
  </si>
  <si>
    <t>works_service_supplies</t>
  </si>
  <si>
    <t>contract_or_fw</t>
  </si>
  <si>
    <t>No_of_Lots</t>
  </si>
  <si>
    <t>max_contracts</t>
  </si>
  <si>
    <t>form_of_contract</t>
  </si>
  <si>
    <t>min_duration</t>
  </si>
  <si>
    <t>max_duration</t>
  </si>
  <si>
    <t>annually_renewable</t>
  </si>
  <si>
    <t>renew_basis</t>
  </si>
  <si>
    <t>Tech_split</t>
  </si>
  <si>
    <t>Price_split</t>
  </si>
  <si>
    <t>FFT_contact</t>
  </si>
  <si>
    <t>Tupe</t>
  </si>
  <si>
    <t>Tupe_info</t>
  </si>
  <si>
    <t>Insurance_Employers</t>
  </si>
  <si>
    <t>Insurance_third</t>
  </si>
  <si>
    <t>Insurance_PI</t>
  </si>
  <si>
    <t>Issue_date</t>
  </si>
  <si>
    <t>Clarification_deadline</t>
  </si>
  <si>
    <t>Return_date</t>
  </si>
  <si>
    <t>Evaluation_start</t>
  </si>
  <si>
    <t>Evaluation_end</t>
  </si>
  <si>
    <t>Feedback issue</t>
  </si>
  <si>
    <t>Contract_commences</t>
  </si>
  <si>
    <t>SP_or_Contractor</t>
  </si>
  <si>
    <t>Job Number</t>
  </si>
  <si>
    <t>Job_No</t>
  </si>
  <si>
    <t>Number</t>
  </si>
  <si>
    <t>Text</t>
  </si>
  <si>
    <t>one</t>
  </si>
  <si>
    <t>two</t>
  </si>
  <si>
    <t>three</t>
  </si>
  <si>
    <t>four</t>
  </si>
  <si>
    <t>five</t>
  </si>
  <si>
    <t>six</t>
  </si>
  <si>
    <t>seven</t>
  </si>
  <si>
    <t>eight</t>
  </si>
  <si>
    <t>nine</t>
  </si>
  <si>
    <t>Contract, Framework, etc.</t>
  </si>
  <si>
    <t>contracts</t>
  </si>
  <si>
    <t>framework agreement</t>
  </si>
  <si>
    <t>framework agreements</t>
  </si>
  <si>
    <t>Joint Venture</t>
  </si>
  <si>
    <t>Joint Ventures</t>
  </si>
  <si>
    <t>Contract_type</t>
  </si>
  <si>
    <t>Direct Labour Organisation</t>
  </si>
  <si>
    <t>Direct Labour Organisations</t>
  </si>
  <si>
    <t>Wholly Own Subsidiary</t>
  </si>
  <si>
    <t>Wholly Own Subsidiaries</t>
  </si>
  <si>
    <t>Partnering</t>
  </si>
  <si>
    <t>JCT</t>
  </si>
  <si>
    <t>If other, please change option to "Other (please provide info)"</t>
  </si>
  <si>
    <t>NEC3 Adjudicator's Contract as published by NEC3</t>
  </si>
  <si>
    <t>NEC3 Engineering and Construction Contract as published by NEC3</t>
  </si>
  <si>
    <t>NEC3 Framework Contract as published by NEC3</t>
  </si>
  <si>
    <t>NEC3 Professional Services Contract as published by NEC3</t>
  </si>
  <si>
    <t>NEC3 Supply Contract as published by NEC3</t>
  </si>
  <si>
    <t>NEC3 Term Service Contract as published by NEC3</t>
  </si>
  <si>
    <t>NEC3_Contract</t>
  </si>
  <si>
    <t>Mob_end</t>
  </si>
  <si>
    <t>Document author</t>
  </si>
  <si>
    <t>Author</t>
  </si>
  <si>
    <t>Owner</t>
  </si>
  <si>
    <t>Economic and Financial Standing</t>
  </si>
  <si>
    <t>Shade</t>
  </si>
  <si>
    <t>Check List</t>
  </si>
  <si>
    <t>Ref</t>
  </si>
  <si>
    <t>Description</t>
  </si>
  <si>
    <t>First Uplift date</t>
  </si>
  <si>
    <t>January</t>
  </si>
  <si>
    <t>February</t>
  </si>
  <si>
    <t>March</t>
  </si>
  <si>
    <t>April</t>
  </si>
  <si>
    <t>May</t>
  </si>
  <si>
    <t>June</t>
  </si>
  <si>
    <t>July</t>
  </si>
  <si>
    <t>August</t>
  </si>
  <si>
    <t>September</t>
  </si>
  <si>
    <t>October</t>
  </si>
  <si>
    <t>November</t>
  </si>
  <si>
    <t>December</t>
  </si>
  <si>
    <t>Month</t>
  </si>
  <si>
    <t>commence_month</t>
  </si>
  <si>
    <t>commence_year</t>
  </si>
  <si>
    <t>Notes for completion</t>
  </si>
  <si>
    <t>Return time</t>
  </si>
  <si>
    <t>Weekday</t>
  </si>
  <si>
    <t>Thursday</t>
  </si>
  <si>
    <t>Friday</t>
  </si>
  <si>
    <t>Saturday</t>
  </si>
  <si>
    <t>Wednesday</t>
  </si>
  <si>
    <t>Tuesday</t>
  </si>
  <si>
    <t>Monday</t>
  </si>
  <si>
    <t>Sunday</t>
  </si>
  <si>
    <t>Registered VAT number</t>
  </si>
  <si>
    <t>Grounds for discretionary exclusion</t>
  </si>
  <si>
    <t>Grounds for mandatory exclusion</t>
  </si>
  <si>
    <t>E-mail address</t>
  </si>
  <si>
    <t>Technical split</t>
  </si>
  <si>
    <t>CA_or_CR full</t>
  </si>
  <si>
    <t>max_extension</t>
  </si>
  <si>
    <t>Day of the Week</t>
  </si>
  <si>
    <t>Note: use 24hr format</t>
  </si>
  <si>
    <t>Scoring methodology</t>
  </si>
  <si>
    <t>Return_time</t>
  </si>
  <si>
    <t>Marks</t>
  </si>
  <si>
    <t>Comments</t>
  </si>
  <si>
    <t>Project information</t>
  </si>
  <si>
    <t>Min no. contractors to be appointed</t>
  </si>
  <si>
    <t>Number of lots</t>
  </si>
  <si>
    <t>Type of contract</t>
  </si>
  <si>
    <t>Is the above no. approximate or exact?</t>
  </si>
  <si>
    <t>Does this procurement affect leaseholders?</t>
  </si>
  <si>
    <t>Evaluation criteria</t>
  </si>
  <si>
    <t>Property information and leaseholders</t>
  </si>
  <si>
    <t>Contract and information</t>
  </si>
  <si>
    <t>Will the tenderer prices be subject to uplifts?</t>
  </si>
  <si>
    <t>What index will be used for the uplift?</t>
  </si>
  <si>
    <t>Does TUPE apply?</t>
  </si>
  <si>
    <t>Will a TUPE list be provided?</t>
  </si>
  <si>
    <t>Project Owner</t>
  </si>
  <si>
    <t>5.1</t>
  </si>
  <si>
    <t>ten</t>
  </si>
  <si>
    <t>Contract dates</t>
  </si>
  <si>
    <t/>
  </si>
  <si>
    <t xml:space="preserve">The response to </t>
  </si>
  <si>
    <t>CA_or_CR</t>
  </si>
  <si>
    <t>Description of works/services/supplies</t>
  </si>
  <si>
    <t>Total annual contract value type</t>
  </si>
  <si>
    <t>Duration_type</t>
  </si>
  <si>
    <t>No_of_props_total</t>
  </si>
  <si>
    <t>type_of_prop_total</t>
  </si>
  <si>
    <t>Duration unit of measure</t>
  </si>
  <si>
    <t>Annual value (maximum)</t>
  </si>
  <si>
    <t>Annual value (minimum)</t>
  </si>
  <si>
    <t>Is this opportunity being advertised?</t>
  </si>
  <si>
    <t>Advertised?</t>
  </si>
  <si>
    <t>S20/Preferred bidder issue</t>
  </si>
  <si>
    <t>Observation period complete</t>
  </si>
  <si>
    <t>Q.</t>
  </si>
  <si>
    <t>Current Contract and information</t>
  </si>
  <si>
    <t>Number of incumbents</t>
  </si>
  <si>
    <t>Your submission must include the following:</t>
  </si>
  <si>
    <t>Report to client</t>
  </si>
  <si>
    <t>RIBA</t>
  </si>
  <si>
    <t>RIBA Standard Agreement 2010 (2012 revision): Architect</t>
  </si>
  <si>
    <t>RIBA Standard Agreement 2010 (2012 revision): Consultant</t>
  </si>
  <si>
    <t>RIBA Concise Agreement 2010 (2012 revision): Architect</t>
  </si>
  <si>
    <t>RIBA Concise Agreement 2010 (2012 revision): Consultant</t>
  </si>
  <si>
    <t>RIBA Sub-consultant Agreement 2010 (2012 revision)</t>
  </si>
  <si>
    <t>Contractor, Service Provider, Consultant?</t>
  </si>
  <si>
    <t>Introduction</t>
  </si>
  <si>
    <t>Potential Supplier Information and Exclusion Grounds: Part 1 and Part 2</t>
  </si>
  <si>
    <t>A completed declaration of Part 1 and Part 2 provides a formal statement that the organisation making the declaration has not breached any of the exclusions grounds.  Consequently, we require all the organisations that you will rely on to meet the selection criteria to provide a completed Part 1 and Part 2.  For example, these could be parent companies, affiliates, associates, or essential sub-contractors, if they are relied upon to meet the selection criteria.  This means that where you are joining in a group of organisations, including joint ventures and partnerships, each organisation in that group must complete one of these self-declarations.  Sub-contractors that you rely on to meet the selection criteria must also complete a self-declaration (although sub-contractors that are not relied upon do not need to complete the self-declaration).</t>
  </si>
  <si>
    <t>When completed, this form is to be sent back to the contact point given in the procurement documents along with the selection information requested in the procurement documentation.</t>
  </si>
  <si>
    <t>Supplier Selection Questions: Part 3</t>
  </si>
  <si>
    <t>The procurement document will provide instructions on the selection questions you need to respond to and how to submit those responses. If you are bidding on behalf of a group (consortium) or you intend to use sub-contractors, you should complete all of the selection questions on behalf of the consortium and/or any sub-contractors.</t>
  </si>
  <si>
    <t>If the relevant documentary evidence referred to in the Selection Questionnaire is not provided upon request and without delay, we reserve the right to amend the contract award decision and award to the next compliant bidder.</t>
  </si>
  <si>
    <t>Consequences of misrepresentation</t>
  </si>
  <si>
    <t>If you seriously misrepresent any factual information in filling in the Selection Questionnaire, and so induce an authority to enter into a contract, there may be significant consequences.  You may be excluded from the procurement procedure, and from bidding for other contracts for three years.  If a contract has been entered into you may be sued for damages and the contract may be rescinded.  If fraud, or fraudulent intent, can be proved, you or your responsible officers may be prosecuted and convicted of the offence of fraud by false representation, and you must be excluded from further procurements for five years.</t>
  </si>
  <si>
    <t>https://www.gov.uk/government/uploads/system/uploads/attachment_data/file/551130/List_of_Mandatory_and_Discretionary_Exclusions.pdf</t>
  </si>
  <si>
    <t>Procedure type</t>
  </si>
  <si>
    <t>Procedure</t>
  </si>
  <si>
    <t>The “authority” means the contracting authority, or anyone acting on behalf of the contracting authority, that is seeking to invite suitable candidates to participate in this procurement process.</t>
  </si>
  <si>
    <t>“You” / “Your” refers to the potential supplier completing this standard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t>
  </si>
  <si>
    <t>Please ensure that all questions are completed in full, and in the format requested.  If the question does not apply to you, please state ‘N/A’.  Should you need to provide additional information in response to the questions, please submit a clearly identified annex.</t>
  </si>
  <si>
    <t>The authority recognises that arrangements set out in section 1.2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Part 1 and Part 2 is submitted for any new organisation relied on to meet the selection criteria.  The authority will make a revised assessment of the submission based on the updated information.</t>
  </si>
  <si>
    <t xml:space="preserve">For Part 1 and Part 2 every organisation that is being relied on to meet the selection must complete and submit the self-declaration.  </t>
  </si>
  <si>
    <t>For answers to Part 3 - If you are bidding on behalf of a group, for example, a consortium, or you intend to use sub-contractors, you should complete all of the questions on behalf of the consortium and/ or any sub-contractors, providing one composite response and declaration.</t>
  </si>
  <si>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</si>
  <si>
    <t>Part 1</t>
  </si>
  <si>
    <t>Part 2</t>
  </si>
  <si>
    <t>Part 3</t>
  </si>
  <si>
    <t>Question</t>
  </si>
  <si>
    <t>a) public limited company</t>
  </si>
  <si>
    <t>b) limited company</t>
  </si>
  <si>
    <t>c) limited liability partnership</t>
  </si>
  <si>
    <t>d) other partnership</t>
  </si>
  <si>
    <t>e) sole trader</t>
  </si>
  <si>
    <t>f) third sector</t>
  </si>
  <si>
    <t>g) other (please specify your trading status)</t>
  </si>
  <si>
    <t>1.1(a)</t>
  </si>
  <si>
    <t>Full name of the potential supplier submitting the information</t>
  </si>
  <si>
    <t>1.1(b) – (i)</t>
  </si>
  <si>
    <t>Registered office address (if applicable)</t>
  </si>
  <si>
    <t>1.1(b) – (ii)</t>
  </si>
  <si>
    <t>Registered website address (if applicable)</t>
  </si>
  <si>
    <t>1.1(c)</t>
  </si>
  <si>
    <t>Trading status</t>
  </si>
  <si>
    <t>1.1(d)</t>
  </si>
  <si>
    <t>Date of registration in country of origin</t>
  </si>
  <si>
    <t>1.1(e)</t>
  </si>
  <si>
    <t>Company registration number (if applicable)</t>
  </si>
  <si>
    <t>1.1(f)</t>
  </si>
  <si>
    <t>Charity registration number (if applicable)</t>
  </si>
  <si>
    <t>1.1(g)</t>
  </si>
  <si>
    <t>Head office DUNS number (if applicable)</t>
  </si>
  <si>
    <t>1.1(h)</t>
  </si>
  <si>
    <t>1.1(i) - (i)</t>
  </si>
  <si>
    <t>If applicable, is your organisation registered with the appropriate professional or trade register(s) in the member state where it is established?</t>
  </si>
  <si>
    <t>1.1(i) - (ii)</t>
  </si>
  <si>
    <t>If you responded yes to 1.1(i) - (i), please provide the relevant details, including the registration number(s).</t>
  </si>
  <si>
    <t>1.1(j) - (i)</t>
  </si>
  <si>
    <t>Is it a legal requirement in the state where you are established for you to possess a particular authorisation, or be a member of a particular organisation in order to provide the services specified in this procurement?</t>
  </si>
  <si>
    <t>1.1(j) - (ii)</t>
  </si>
  <si>
    <t>If you responded yes to 1.1(j) - (i), please provide additional details of what is required and confirmation that you have complied with this.</t>
  </si>
  <si>
    <t>1.1(k)</t>
  </si>
  <si>
    <t>Trading name(s) that will be used if successful in this procurement</t>
  </si>
  <si>
    <t>1.1(l)</t>
  </si>
  <si>
    <t>Relevant classifications (state whether you fall within one of these, and if so which one)</t>
  </si>
  <si>
    <t>a)</t>
  </si>
  <si>
    <t>b)</t>
  </si>
  <si>
    <t>c)</t>
  </si>
  <si>
    <t>Public service mutual</t>
  </si>
  <si>
    <t>1.1(m)</t>
  </si>
  <si>
    <t>1.1(o)</t>
  </si>
  <si>
    <t>Details of immediate parent company (Please enter N/A if not applicable):</t>
  </si>
  <si>
    <t>1.1(p)</t>
  </si>
  <si>
    <t>Details of ultimate parent company (Please enter N/A if not applicable):</t>
  </si>
  <si>
    <t>Voluntary Community Social Enterprise (VCSE)</t>
  </si>
  <si>
    <t>Sheltered Workshop</t>
  </si>
  <si>
    <t>1.1(n)</t>
  </si>
  <si>
    <t>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 See PSC guidance.</t>
  </si>
  <si>
    <t>Central Government contracting authorities should use this information to have the PSC information for the preferred supplier checked before award.</t>
  </si>
  <si>
    <t>Please answer the following questions in full. Note that every organisation that is being relied on to meet the selection must complete and submit the Part 1 and Part 2 self-declaration.</t>
  </si>
  <si>
    <t>Name;</t>
  </si>
  <si>
    <t>Date of birth;</t>
  </si>
  <si>
    <t>Nationality;</t>
  </si>
  <si>
    <t>Country, state or part of the UK where the PSC usually lives;</t>
  </si>
  <si>
    <t>Service address;</t>
  </si>
  <si>
    <t>The Date he or she became a PSC in relation to the company (for existing companies the 6 April 2016 should be used);</t>
  </si>
  <si>
    <t>Registration number (if applicable)</t>
  </si>
  <si>
    <t>Head office VAT number (if applicable)</t>
  </si>
  <si>
    <t>Full name of the immediate parent company</t>
  </si>
  <si>
    <t>Full name of the ultimate parent company</t>
  </si>
  <si>
    <t>A criminal record check for relevant convictions may be undertaken for the preferred suppliers and the persons of significant in control of them.</t>
  </si>
  <si>
    <t>Over 25% up to (and including) 50%</t>
  </si>
  <si>
    <t>More than 50% and less than 75%</t>
  </si>
  <si>
    <t>75% or more</t>
  </si>
  <si>
    <t>See EU definition of SME:</t>
  </si>
  <si>
    <t>http://ec.europa.eu/enterprise/policies/sme/facts-figuresanalysis/sme-definition/</t>
  </si>
  <si>
    <t>Are you a Small, Medium or Micro Enterprise (SME)[2]?</t>
  </si>
  <si>
    <t>Details of Persons of Significant Control (PSC), where appropriate (Please enter N/A if not applicable): [3]</t>
  </si>
  <si>
    <t>Which conditions for being a PSC are met[4];</t>
  </si>
  <si>
    <t>Please provide the following information about your approach to this procurement:</t>
  </si>
  <si>
    <t>1.2(a) - (i)</t>
  </si>
  <si>
    <t>Are you bidding as the lead contact for a group of economic operators?</t>
  </si>
  <si>
    <t>If yes, please provide details listed in questions 1.2(a) (ii), (a) (iii) and to 1.2(b) (i), (b) (ii), 1.3, Section 2 and 3.</t>
  </si>
  <si>
    <t>If no, and you are a supporting bidder please provide the name of your group at 1.2(a) (ii) for reference purposes, and complete 1.3, Section 2 and 3.</t>
  </si>
  <si>
    <t xml:space="preserve">1.2(a) - (ii) </t>
  </si>
  <si>
    <t>1.2(a) - (iii)</t>
  </si>
  <si>
    <t>Proposed legal structure if the group of economic operators intends to form a named single legal entity prior to signing a contract, if awarded. If you do not propose to form a single legal entity, please explain the legal structure.</t>
  </si>
  <si>
    <t>1.2(b) - (i)</t>
  </si>
  <si>
    <t>Are you or, if applicable, the group of economic operators proposing to use sub-contractors?</t>
  </si>
  <si>
    <t>1.2(b) - (ii)</t>
  </si>
  <si>
    <t>If you responded yes to 1.2(b)-(i) please provide additional details for each subcontractor in the following table: we may ask them to complete this form as well.</t>
  </si>
  <si>
    <t>Name</t>
  </si>
  <si>
    <t>Company registration number</t>
  </si>
  <si>
    <t>Head Office DUNS number (if applicable)</t>
  </si>
  <si>
    <t>Type of organisation</t>
  </si>
  <si>
    <t>SME (Yes/No)</t>
  </si>
  <si>
    <t>The role each subcontractor will take in providing the works and /or supplies e.g. key deliverables</t>
  </si>
  <si>
    <t>The approximate % of contractual obligations assigned to each subcontractor</t>
  </si>
  <si>
    <t>I declare that to the best of my knowledge the answers submitted and information contained in this document are correct and accurate.</t>
  </si>
  <si>
    <t>I declare that, upon request and without delay I will provide the certificates or documentary evidence referred to in this document.</t>
  </si>
  <si>
    <t>I understand that the information will be used in the selection process to assess my organisation’s suitability to be invited to participate further in this procurement.</t>
  </si>
  <si>
    <t>I understand that the authority may reject this submission in its entirety if there is a failure to answer all the relevant questions fully, or if false/misleading information or content is provided in any section.</t>
  </si>
  <si>
    <t>I am aware of the consequences of serious misrepresentation.</t>
  </si>
  <si>
    <t>1.3(a)</t>
  </si>
  <si>
    <t>Contact name</t>
  </si>
  <si>
    <t>1.3(b)</t>
  </si>
  <si>
    <t>Name of organisation</t>
  </si>
  <si>
    <t xml:space="preserve">1.3(c) </t>
  </si>
  <si>
    <t>Role in organisation</t>
  </si>
  <si>
    <t>1.3(d)</t>
  </si>
  <si>
    <t>Phone number</t>
  </si>
  <si>
    <t xml:space="preserve">1.3(e) </t>
  </si>
  <si>
    <t>1.3(f)</t>
  </si>
  <si>
    <t>Postal address</t>
  </si>
  <si>
    <t>1.3(g)</t>
  </si>
  <si>
    <t>Signature (electronic is acceptable)</t>
  </si>
  <si>
    <t>1.3(h)</t>
  </si>
  <si>
    <t xml:space="preserve">2.1(a) </t>
  </si>
  <si>
    <t>Participation in a criminal organisation.
If Yes please provide details at 2.1(b)</t>
  </si>
  <si>
    <t>Corruption.
If Yes please provide details at 2.1(b)</t>
  </si>
  <si>
    <t>Fraud.
If Yes please provide details at 2.1(b)</t>
  </si>
  <si>
    <t>Terrorist offences or offences linked to terrorist activities
If Yes please provide details at 2.1(b)</t>
  </si>
  <si>
    <t>Money laundering or terrorist financing
If Yes please provide details at 2.1(b)</t>
  </si>
  <si>
    <t>Child labour and other forms of trafficking in human beings
If Yes please provide details at 2.1(b)</t>
  </si>
  <si>
    <t xml:space="preserve">2.1(b) </t>
  </si>
  <si>
    <t>If you have answered yes to question 2.1(a), please provide further details.
Date of conviction, specify which of the grounds listed the conviction was for, and the reasons for conviction,
Identity of who has been convicted
If the relevant documentation is available electronically please provide the web address, issuing authority, precise reference of the documents.</t>
  </si>
  <si>
    <t>If you have answered Yes to any of the points above have measures been taken to demonstrate the reliability of the organisation despite the existence of a relevant ground for exclusion ? (Self Cleaning)</t>
  </si>
  <si>
    <t>2.3(a)</t>
  </si>
  <si>
    <t>2.3(b)</t>
  </si>
  <si>
    <t>If you have answered yes to question 2.3(a), please provide further details.
Please also confirm you have paid, or have entered into a binding arrangement with a view to paying, the outstanding sum including where applicable any accrued interest and/or fines.</t>
  </si>
  <si>
    <t>The authority reserves the right to use its discretion to exclude a potential supplier where it can demonstrate by any appropriate means that the potential supplier is in breach of its obligations relating to the non-payment of taxes or social security contributions.</t>
  </si>
  <si>
    <t>3.1(a)</t>
  </si>
  <si>
    <t>Breach of environmental obligations?
If yes please provide details at 3.2</t>
  </si>
  <si>
    <t>3.1 (b)</t>
  </si>
  <si>
    <t>Breach of social obligations?
If yes please provide details at 3.2</t>
  </si>
  <si>
    <t>3.1 (c)</t>
  </si>
  <si>
    <t>Breach of labour law obligations?
If yes please provide details at 3.2</t>
  </si>
  <si>
    <t>3.1(d)</t>
  </si>
  <si>
    <t>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If yes please provide details at 3.2</t>
  </si>
  <si>
    <t>3.1(e)</t>
  </si>
  <si>
    <t>Guilty of grave professional misconduct?
If yes please provide details at 3.2</t>
  </si>
  <si>
    <t>3.1(f)</t>
  </si>
  <si>
    <t>Entered into agreements with other economic operators aimed at distorting competition?
If yes please provide details at 3.2</t>
  </si>
  <si>
    <t>3.1(g)</t>
  </si>
  <si>
    <t>Aware of any conflict of interest within the meaning of regulation 24 due to the participation in the procurement procedure?
If yes please provide details at 3.2</t>
  </si>
  <si>
    <t>3.1(h)</t>
  </si>
  <si>
    <t>Been involved in the preparation of the procurement procedure?
If yes please provide details at 3.2</t>
  </si>
  <si>
    <t>3.1(i)</t>
  </si>
  <si>
    <t>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If yes please provide details at 3.2</t>
  </si>
  <si>
    <t>3.1(j)</t>
  </si>
  <si>
    <t>Please answer the following statements</t>
  </si>
  <si>
    <t>3.1(j) - (i)</t>
  </si>
  <si>
    <t>The organisation is guilty of serious misrepresentation in supplying the information required for the verification of the absence of grounds for exclusion or the fulfilment of the selection criteria.
If Yes please provide details at 3.2</t>
  </si>
  <si>
    <t>3.1(j) - (ii)</t>
  </si>
  <si>
    <t>The organisation has withheld such information.
If Yes please provide details at 3.2</t>
  </si>
  <si>
    <t>3.1(j) –(iii)</t>
  </si>
  <si>
    <t>The organisation is not able to submit supporting documents required under regulation 59 of the Public Contracts Regulations 2015.
If Yes please provide details at 3.2</t>
  </si>
  <si>
    <t>3.1(j)-(iv)</t>
  </si>
  <si>
    <t>The organisation has influenced the decision-making process of the contracting authority to obtain confidential information that may confer upon the organisation undue advantages in the procurement procedure, or to negligently provided misleading information that may have a material influence on decisions concerning exclusion, selection or award.
If Yes please provide details at 3.2</t>
  </si>
  <si>
    <t>If you have answered Yes to any of the above, explain what measures been taken to demonstrate the reliability of the organisation despite the existence of a relevant ground for exclusion? (Self Cleaning)</t>
  </si>
  <si>
    <t>Selection Questions</t>
  </si>
  <si>
    <t>Section 4</t>
  </si>
  <si>
    <t>Potential Supplier Information</t>
  </si>
  <si>
    <t>Bidding model</t>
  </si>
  <si>
    <t>Section 1</t>
  </si>
  <si>
    <t>Contract details and declaration</t>
  </si>
  <si>
    <t>Section 2</t>
  </si>
  <si>
    <t>Section 3</t>
  </si>
  <si>
    <t>Exclusion Grounds</t>
  </si>
  <si>
    <t>Complete?</t>
  </si>
  <si>
    <t>Potential Supplier Information: Section 1</t>
  </si>
  <si>
    <t>Potential Supplier Information: Section 1 - Bidding model</t>
  </si>
  <si>
    <t>Potential Supplier Information: Section 1 - Contact details and declaration</t>
  </si>
  <si>
    <t>Exclusion Grounds: Section 2 - Grounds for mandatory exclusion</t>
  </si>
  <si>
    <t>Exclusion Grounds: Section 3 - Grounds for discretionary exclusion</t>
  </si>
  <si>
    <t>Selection Questions: Section 4 - Economic and Financial Standing and Section 5: Part of a Group</t>
  </si>
  <si>
    <t>(a)</t>
  </si>
  <si>
    <t>A statement of the turnover, Profit and Loss Account/Income Statement, Balance Sheet/Statement of Financial Position and Statement of Cash Flow for the most recent year of trading for this organisation.</t>
  </si>
  <si>
    <t>(b)</t>
  </si>
  <si>
    <t>A statement of the cash flow forecast for the current year and a bank letter outlining the current cash and credit position.</t>
  </si>
  <si>
    <t>(c)</t>
  </si>
  <si>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</si>
  <si>
    <t>Where we have specified a minimum level of economic and financial standing and/ or a minimum financial threshold within the evaluation criteria for this procurement, please self-certify by answering ‘Yes’ or ‘No’ that you meet the requirements set out.</t>
  </si>
  <si>
    <t>Section 5</t>
  </si>
  <si>
    <t>If you have indicated in the Selection Questionnaire question 1.2 that you are part of a wider group, please provide further details below:</t>
  </si>
  <si>
    <t>Relationship to the Supplier completing these questions</t>
  </si>
  <si>
    <t>Are you able to provide parent company accounts if requested to at a later stage?</t>
  </si>
  <si>
    <t>If yes, would the parent company be willing to provide a guarantee if necessary?</t>
  </si>
  <si>
    <t>If no, would you be able to obtain a guarantee elsewhere (e.g. from a bank)?</t>
  </si>
  <si>
    <t>5.2</t>
  </si>
  <si>
    <t>5.3</t>
  </si>
  <si>
    <t>Modern Slavery Act 2015</t>
  </si>
  <si>
    <t>Section 7</t>
  </si>
  <si>
    <t>7.1</t>
  </si>
  <si>
    <t>7.2</t>
  </si>
  <si>
    <t>Are you a relevant commercial organisation as defined by section 54 ("Transparency in supply chains etc.") of the Modern Slavery Act 2015 ("the Act")?</t>
  </si>
  <si>
    <t>If you have answered yes to question 1 are you compliant with the annual reporting requirements contained within Section 54 of the Act 2015?</t>
  </si>
  <si>
    <t>Not used</t>
  </si>
  <si>
    <t>Q6.4</t>
  </si>
  <si>
    <t>Q6.4.1</t>
  </si>
  <si>
    <t>Q6.4.2</t>
  </si>
  <si>
    <t>Q6.4.3</t>
  </si>
  <si>
    <t>Q6.4.4</t>
  </si>
  <si>
    <t>Q6.4.5</t>
  </si>
  <si>
    <t>Q6.4.6</t>
  </si>
  <si>
    <t>Q6.4.7</t>
  </si>
  <si>
    <t>Q6.4.8</t>
  </si>
  <si>
    <t>Q6.4.9</t>
  </si>
  <si>
    <t>Q6.4.10</t>
  </si>
  <si>
    <t>Q6.5</t>
  </si>
  <si>
    <t>Q6.5.1</t>
  </si>
  <si>
    <t>Q6.5.2</t>
  </si>
  <si>
    <t>Q6.5.3</t>
  </si>
  <si>
    <t>Q6.5.4</t>
  </si>
  <si>
    <t>Q6.5.5</t>
  </si>
  <si>
    <t>Q6.5.6</t>
  </si>
  <si>
    <t>Q6.5.7</t>
  </si>
  <si>
    <t>Q6.5.8</t>
  </si>
  <si>
    <t>Q6.5.9</t>
  </si>
  <si>
    <t>Q6.5.10</t>
  </si>
  <si>
    <t>Q6.6</t>
  </si>
  <si>
    <t>Q6.6.1</t>
  </si>
  <si>
    <t>Q6.6.2</t>
  </si>
  <si>
    <t>Q6.6.3</t>
  </si>
  <si>
    <t>Q6.6.6</t>
  </si>
  <si>
    <t>Q6.6.7</t>
  </si>
  <si>
    <t>Q6.6.8</t>
  </si>
  <si>
    <t>Q6.6.9</t>
  </si>
  <si>
    <t>Q6.6.10</t>
  </si>
  <si>
    <t>Q6.7</t>
  </si>
  <si>
    <t>Q6.7.1</t>
  </si>
  <si>
    <t>Q6.7.2</t>
  </si>
  <si>
    <t>Q6.7.3</t>
  </si>
  <si>
    <t>Q6.7.4</t>
  </si>
  <si>
    <t>Q6.7.5</t>
  </si>
  <si>
    <t>Q6.7.6</t>
  </si>
  <si>
    <t>Q6.7.7</t>
  </si>
  <si>
    <t>Q6.7.8</t>
  </si>
  <si>
    <t>Q6.7.9</t>
  </si>
  <si>
    <t>Q6.7.10</t>
  </si>
  <si>
    <t>Q6.8</t>
  </si>
  <si>
    <t>Q6.8.1</t>
  </si>
  <si>
    <t>Q6.8.2</t>
  </si>
  <si>
    <t>Q6.8.3</t>
  </si>
  <si>
    <t>Q6.8.4</t>
  </si>
  <si>
    <t>Q6.8.5</t>
  </si>
  <si>
    <t>Q6.8.6</t>
  </si>
  <si>
    <t>Q6.8.7</t>
  </si>
  <si>
    <t>Q6.8.8</t>
  </si>
  <si>
    <t>Q6.8.9</t>
  </si>
  <si>
    <t>Q6.8.10</t>
  </si>
  <si>
    <t>Q6.6.4</t>
  </si>
  <si>
    <t>Q6.6.5</t>
  </si>
  <si>
    <t>Section 8</t>
  </si>
  <si>
    <t>Additional Questions</t>
  </si>
  <si>
    <t>Sections 7:  Modern Slavery Act 2015</t>
  </si>
  <si>
    <t>8.1</t>
  </si>
  <si>
    <t>Please self-certify whether you already have, or can commit to obtain, prior to the commencement of the contract, the levels of insurance cover indicated below:</t>
  </si>
  <si>
    <t>8.2.a</t>
  </si>
  <si>
    <t>8.2.b</t>
  </si>
  <si>
    <t>8.2.c</t>
  </si>
  <si>
    <t>Public procurement of contracts with a full life value of £10 million and above and duration of 12 months and above should be used to support skills development and delivery of the apprenticeship commitment. This policy is set out in detail in Procurement Policy Note 14/15. Please confirm if you will be supporting apprenticeships and skills development through this contract.</t>
  </si>
  <si>
    <t>Less than £10 million</t>
  </si>
  <si>
    <t>Greater than £10 million (with a duration of less than 12 months)</t>
  </si>
  <si>
    <t>Greater than £10 million (with a duration of more than 12 months)</t>
  </si>
  <si>
    <t>Greater than £20 million (with a duration of less than 12 months)</t>
  </si>
  <si>
    <t>Greater than £20 million (with a duration of more than 12 months)</t>
  </si>
  <si>
    <t>If yes, can you provide at a later stage documentary evidence to support your commitment to developing and investing in skills, development and apprenticeships to build a more skilled and productive workforce and reducing the risks of supply constraints and increasing labour cost inflation?</t>
  </si>
  <si>
    <t>8.2</t>
  </si>
  <si>
    <t>8.4</t>
  </si>
  <si>
    <t>8.3</t>
  </si>
  <si>
    <t>Section not applicable</t>
  </si>
  <si>
    <t>Do you have a process in place to ensure that your supply chain supports skills, development and apprenticeships in line with PPN 14/15 (see guidance) and can provide evidence if requested?</t>
  </si>
  <si>
    <t>8.4.a</t>
  </si>
  <si>
    <t>8.4.b</t>
  </si>
  <si>
    <t>8.4.c</t>
  </si>
  <si>
    <t>8.4.d</t>
  </si>
  <si>
    <t>8.4.e</t>
  </si>
  <si>
    <t>Can you supply a list of your relevant principal contracts for goods and/or services provided in the last three years?</t>
  </si>
  <si>
    <t>On request can you provide a certificate from those customers on the list?</t>
  </si>
  <si>
    <t>If you cannot obtain a certificate from a customer can you explain the reasons why?</t>
  </si>
  <si>
    <t>If the certificate states that goods and/or services supplied were not satisfactory are you able to supply information which shows why this will not recur in this contract if you are awarded it?</t>
  </si>
  <si>
    <t>Can you supply the information in questions a. to d. above for any sub-contractors [or consortium members] who you are relying upon to perform  this contract?</t>
  </si>
  <si>
    <t>Sections 8:  Additional Questions</t>
  </si>
  <si>
    <t>1_1_Complete?</t>
  </si>
  <si>
    <t>1_2_Complete?</t>
  </si>
  <si>
    <t>1_1_Reg_Address</t>
  </si>
  <si>
    <t>1_1_Website</t>
  </si>
  <si>
    <t>1_1_Trading</t>
  </si>
  <si>
    <t>1_1_Trading_Other</t>
  </si>
  <si>
    <t>1_1_Reg_Date</t>
  </si>
  <si>
    <t>1_1_Reg_No</t>
  </si>
  <si>
    <t>1_1_Charity</t>
  </si>
  <si>
    <t>1_1_DUNS</t>
  </si>
  <si>
    <t>1_1_VAT</t>
  </si>
  <si>
    <t>1_1_Registered</t>
  </si>
  <si>
    <t>1_1_Reg_Details</t>
  </si>
  <si>
    <t>1_1_Accredited</t>
  </si>
  <si>
    <t>1_1_Accred_Details</t>
  </si>
  <si>
    <t>1_1_Trading_Name</t>
  </si>
  <si>
    <t>1_1_VCSE</t>
  </si>
  <si>
    <t>1_1_Sheltered</t>
  </si>
  <si>
    <t>1_1_PSM</t>
  </si>
  <si>
    <t>1_1_SME</t>
  </si>
  <si>
    <t>1_1_PSC_Name</t>
  </si>
  <si>
    <t>1_1_PSC_DoB</t>
  </si>
  <si>
    <t>1_1_PSC_Nationality</t>
  </si>
  <si>
    <t>1_1_PSC_Lives</t>
  </si>
  <si>
    <t>1_1_PSC_Address</t>
  </si>
  <si>
    <t>1_1_PSC_Date</t>
  </si>
  <si>
    <t>1_1_PSC_Conditions</t>
  </si>
  <si>
    <t>1_1_IPC_Name</t>
  </si>
  <si>
    <t>1_1_IPC_Address</t>
  </si>
  <si>
    <t>1_1_IPC_RegNo</t>
  </si>
  <si>
    <t>1_1_IPC_DUNS</t>
  </si>
  <si>
    <t>1_1_IPC_VAT</t>
  </si>
  <si>
    <t>1_1_UPC_Name</t>
  </si>
  <si>
    <t>1_1_UPC_Address</t>
  </si>
  <si>
    <t>1_1_UPC_RegNo</t>
  </si>
  <si>
    <t>1_1_UPC_DUNS</t>
  </si>
  <si>
    <t>1_1_UPC_VAT</t>
  </si>
  <si>
    <t>1_2_Lead</t>
  </si>
  <si>
    <t>1_2_Group_Name</t>
  </si>
  <si>
    <t>1_2_Group_Structure</t>
  </si>
  <si>
    <t>1_2_Subs</t>
  </si>
  <si>
    <t>1_2_Sub_Name_1</t>
  </si>
  <si>
    <t>1_2_Sub_Name_2</t>
  </si>
  <si>
    <t>1_2_Sub_Name_3</t>
  </si>
  <si>
    <t>1_2_Sub_Name_4</t>
  </si>
  <si>
    <t>1_2_Sub_Name_5</t>
  </si>
  <si>
    <t>1_2_Sub_Add_1</t>
  </si>
  <si>
    <t>1_2_Sub_Add_2</t>
  </si>
  <si>
    <t>1_2_Sub_Add_3</t>
  </si>
  <si>
    <t>1_2_Sub_Add_4</t>
  </si>
  <si>
    <t>1_2_Sub_Add_5</t>
  </si>
  <si>
    <t>1_2_Sub_Status_1</t>
  </si>
  <si>
    <t>1_2_Sub_Status_2</t>
  </si>
  <si>
    <t>1_2_Sub_Status_3</t>
  </si>
  <si>
    <t>1_2_Sub_Status_4</t>
  </si>
  <si>
    <t>1_2_Sub_Status_5</t>
  </si>
  <si>
    <t>1_2_Sub_Reg_1</t>
  </si>
  <si>
    <t>1_2_Sub_Reg_2</t>
  </si>
  <si>
    <t>1_2_Sub_Reg_3</t>
  </si>
  <si>
    <t>1_2_Sub_Reg_4</t>
  </si>
  <si>
    <t>1_2_Sub_Reg_5</t>
  </si>
  <si>
    <t>1_2_Sub_DUNS_1</t>
  </si>
  <si>
    <t>1_2_Sub_DUNS_2</t>
  </si>
  <si>
    <t>1_2_Sub_DUNS_3</t>
  </si>
  <si>
    <t>1_2_Sub_DUNS_4</t>
  </si>
  <si>
    <t>1_2_Sub_DUNS_5</t>
  </si>
  <si>
    <t>1_2_Sub_VAT_1</t>
  </si>
  <si>
    <t>1_2_Sub_VAT_2</t>
  </si>
  <si>
    <t>1_2_Sub_VAT_3</t>
  </si>
  <si>
    <t>1_2_Sub_VAT_4</t>
  </si>
  <si>
    <t>1_2_Sub_VAT_5</t>
  </si>
  <si>
    <t>1_2_Sub_Type_1</t>
  </si>
  <si>
    <t>1_2_Sub_Type_2</t>
  </si>
  <si>
    <t>1_2_Sub_Type_3</t>
  </si>
  <si>
    <t>1_2_Sub_Type_4</t>
  </si>
  <si>
    <t>1_2_Sub_Type_5</t>
  </si>
  <si>
    <t>1_2_Sub_SME_1</t>
  </si>
  <si>
    <t>1_2_Sub_SME_2</t>
  </si>
  <si>
    <t>1_2_Sub_SME_3</t>
  </si>
  <si>
    <t>1_2_Sub_SME_4</t>
  </si>
  <si>
    <t>1_2_Sub_SME_5</t>
  </si>
  <si>
    <t>1_2_Sub_Role_1</t>
  </si>
  <si>
    <t>1_2_Sub_Role_2</t>
  </si>
  <si>
    <t>1_2_Sub_Role_3</t>
  </si>
  <si>
    <t>1_2_Sub_Role_4</t>
  </si>
  <si>
    <t>1_2_Sub_Role_5</t>
  </si>
  <si>
    <t>1_2_Sub_%_1</t>
  </si>
  <si>
    <t>1_2_Sub_%_2</t>
  </si>
  <si>
    <t>1_2_Sub_%_3</t>
  </si>
  <si>
    <t>1_2_Sub_%_4</t>
  </si>
  <si>
    <t>1_2_Sub_%_5</t>
  </si>
  <si>
    <t>1_3_Complete?</t>
  </si>
  <si>
    <t>1_3_Name</t>
  </si>
  <si>
    <t>1_3_Organisation</t>
  </si>
  <si>
    <t>1_3_Role</t>
  </si>
  <si>
    <t>1_3_Phone</t>
  </si>
  <si>
    <t>1_3_E-mail</t>
  </si>
  <si>
    <t>2_2_Complete?</t>
  </si>
  <si>
    <t>2_2_Criminal</t>
  </si>
  <si>
    <t>2_2_Corruption</t>
  </si>
  <si>
    <t>2_2_Fraud</t>
  </si>
  <si>
    <t>2_2_Terrorist</t>
  </si>
  <si>
    <t>2_2_Financing</t>
  </si>
  <si>
    <t>2_2_Trafficking</t>
  </si>
  <si>
    <t>2_2_Details</t>
  </si>
  <si>
    <t>2_2_Measures</t>
  </si>
  <si>
    <t>2_2_Reg57</t>
  </si>
  <si>
    <t>2_2_Reg57_Details</t>
  </si>
  <si>
    <t>1_1_Tenderer</t>
  </si>
  <si>
    <t>2_3_Complete?</t>
  </si>
  <si>
    <t>2_3_Enviro</t>
  </si>
  <si>
    <t>2_3_Social</t>
  </si>
  <si>
    <t>2_3_Labour</t>
  </si>
  <si>
    <t>2_3_Bankrupt</t>
  </si>
  <si>
    <t>2_3_Misconduct</t>
  </si>
  <si>
    <t>2_3_Distorting</t>
  </si>
  <si>
    <t>2_3_Conflict</t>
  </si>
  <si>
    <t>2_3_Involved</t>
  </si>
  <si>
    <t>2_3_Performance</t>
  </si>
  <si>
    <t>2_3_Misrepresentation</t>
  </si>
  <si>
    <t>2_3_Withheld</t>
  </si>
  <si>
    <t>2_3_Influenced</t>
  </si>
  <si>
    <t>2_3_Supporting</t>
  </si>
  <si>
    <t>2_3_Measures</t>
  </si>
  <si>
    <t>3_4_Accounts</t>
  </si>
  <si>
    <t>3_4_Prof&amp;loss</t>
  </si>
  <si>
    <t>3_4_Cashflow</t>
  </si>
  <si>
    <t>3_4_Alternative</t>
  </si>
  <si>
    <t>3_4_Turnover</t>
  </si>
  <si>
    <t>3_5_Relationship</t>
  </si>
  <si>
    <t>3_5_PC_Accounts</t>
  </si>
  <si>
    <t>3_5_PC_Name</t>
  </si>
  <si>
    <t>3_5_PCG</t>
  </si>
  <si>
    <t>3_5_Guarantee</t>
  </si>
  <si>
    <t>3_4&amp;5_Complete?</t>
  </si>
  <si>
    <t>3_7_Complete?</t>
  </si>
  <si>
    <t>3_7_Extra</t>
  </si>
  <si>
    <t>3_7_Reporting</t>
  </si>
  <si>
    <t>3_7_Relevant</t>
  </si>
  <si>
    <t>3_8_Complete?</t>
  </si>
  <si>
    <t>3_8_Insurances</t>
  </si>
  <si>
    <t>3_8_Supporting</t>
  </si>
  <si>
    <t>3_8_Evidence</t>
  </si>
  <si>
    <t>3_8_SupplyChain</t>
  </si>
  <si>
    <t>3_8_List</t>
  </si>
  <si>
    <t>3_8_Certificate</t>
  </si>
  <si>
    <t>3_8_Explain</t>
  </si>
  <si>
    <t>3_8_Not_recur</t>
  </si>
  <si>
    <t>3_8_Subs</t>
  </si>
  <si>
    <t xml:space="preserve">Note:  </t>
  </si>
  <si>
    <t>Enclosed?</t>
  </si>
  <si>
    <t>Section 1:  Potential Supplier Information</t>
  </si>
  <si>
    <t>Section 2:  Grounds for mandatory exclusion</t>
  </si>
  <si>
    <t>Section 7:  Modern Slavery Act 2015</t>
  </si>
  <si>
    <t>1.1(i)-(ii)</t>
  </si>
  <si>
    <t>Relevant details, including the registration number(s), of appropriate professional or trade register(s)</t>
  </si>
  <si>
    <t>2.1(b)</t>
  </si>
  <si>
    <t>Further details of any conviction(s) details in questions 2.1(a)</t>
  </si>
  <si>
    <t>Further details of breach of obligations (Regulation 57(3))</t>
  </si>
  <si>
    <t>Section 3:  Grounds for discretionary exclusion</t>
  </si>
  <si>
    <t>Further details on reporting requirements under the Modern Slavery Act 2015</t>
  </si>
  <si>
    <t>Requirements under Modern Slavery Act 2015</t>
  </si>
  <si>
    <t>Additional details of what is required and confirmation that you comply with this.</t>
  </si>
  <si>
    <t>Details of what measures have been undertaken to demonstrate reliability</t>
  </si>
  <si>
    <t>Q6.1</t>
  </si>
  <si>
    <t>Q6.1.1</t>
  </si>
  <si>
    <t>Q6.1.2</t>
  </si>
  <si>
    <t>Q6.1.3</t>
  </si>
  <si>
    <t>Q6.2</t>
  </si>
  <si>
    <t>Q6.3</t>
  </si>
  <si>
    <t>Contract 1:  Contract details and brief description of the contract delivered including evidence as to your technical capability in this market</t>
  </si>
  <si>
    <t>Contract 2:  Contract details and brief description of the contract delivered including evidence as to your technical capability in this market</t>
  </si>
  <si>
    <t>Contract 3:  Contract details and brief description of the contract delivered including evidence as to your technical capability in this market</t>
  </si>
  <si>
    <t xml:space="preserve">Works contracts may be from the past five years. </t>
  </si>
  <si>
    <t xml:space="preserve">Contracts for supplies or services should have been performed during the past three years. </t>
  </si>
  <si>
    <t xml:space="preserve">Please provide details of up to three contracts, in any combination from either the public or private sector; voluntary, charity or social enterprise (VCSE) that are relevant to our requirement. VCSEs may include samples of grant-funded work.  </t>
  </si>
  <si>
    <t xml:space="preserve">Details and brief description of the </t>
  </si>
  <si>
    <t xml:space="preserve"> delivered including evidence as to your technical capability in this market</t>
  </si>
  <si>
    <t>ITT_Min</t>
  </si>
  <si>
    <t>Please also refer to the guidance provided on the contents page to ensure all tabs have been completed before submitting.</t>
  </si>
  <si>
    <t>ITT_Max</t>
  </si>
  <si>
    <t>JCT Minor Works Building Contract (2016) published by The Joint Contracts Tribunal (JCT)</t>
  </si>
  <si>
    <t>JCT Design and Build Contract (2016) published by The Joint Contracts Tribunal (JCT)</t>
  </si>
  <si>
    <t>JCT Intermediate Building Contract (2016) published by The Joint Contracts Tribunal (JCT)</t>
  </si>
  <si>
    <t>JCT Intermediate Building Contract with contractor's design (2016) published by The Joint Contracts Tribunal (JCT)</t>
  </si>
  <si>
    <t>JCT Minor Works Building Contract with contractor's design (2016) published by The Joint Contracts Tribunal (JCT)</t>
  </si>
  <si>
    <t>JCT Standard Building Contract (2016) published by The Joint Contracts Tribunal (JCT)</t>
  </si>
  <si>
    <t>1_3_Address_1</t>
  </si>
  <si>
    <t>1_3_Address_2</t>
  </si>
  <si>
    <t>1_3_Address_3</t>
  </si>
  <si>
    <t>1_3_Address_4</t>
  </si>
  <si>
    <t>1_3_Address_5</t>
  </si>
  <si>
    <t>Name of group of economic operators
(if applicable)</t>
  </si>
  <si>
    <t>SQ dates</t>
  </si>
  <si>
    <t>SQ Issue date</t>
  </si>
  <si>
    <t>SQ Clarification deadline</t>
  </si>
  <si>
    <t>SQ Return date</t>
  </si>
  <si>
    <t>SQ Return time</t>
  </si>
  <si>
    <t>SQ Evaluation start</t>
  </si>
  <si>
    <t>SQ Evaluation end</t>
  </si>
  <si>
    <t>SQ Report to client</t>
  </si>
  <si>
    <t>SQ Feedback issue</t>
  </si>
  <si>
    <t>Maximum marks available</t>
  </si>
  <si>
    <t>JCT Measured Term Contract (2016) published by The Joint Contracts Tribunal (JCT)</t>
  </si>
  <si>
    <t>JCT Framework Agreement (2016) published by The Joint Contracts Tribunal (JCT)</t>
  </si>
  <si>
    <t>JCT Major Project Construction Contract (2016) published by The Joint Contracts Tribunal (JCT)</t>
  </si>
  <si>
    <t>JCT Management Building Contract (2016) published by The Joint Contracts Tribunal (JCT)</t>
  </si>
  <si>
    <t>JCT Prime Cost Building Contract (2016) published by The Joint Contracts Tribunal (JCT)</t>
  </si>
  <si>
    <t>JCT Repair and Maintenance Contract (2016) published by The Joint Contracts Tribunal (JCT)</t>
  </si>
  <si>
    <t>JCT-CE Contract (2016) published by The Joint Contracts Tribunal (JCT)</t>
  </si>
  <si>
    <t>JCT Construction Management Contract (2016) published by The Joint Contracts Tribunal (JCT)</t>
  </si>
  <si>
    <t>The standard Selection Questionnaire is a self-declaration, made by you (the potential supplier), that you do not meet any of the grounds for exclusion[1].  If there are grounds for exclusion, there is an opportunity to explain the background and any measures you have taken to rectify the situation (we call this self-cleaning).</t>
  </si>
  <si>
    <t>Q6.9</t>
  </si>
  <si>
    <t>Q6.9.1</t>
  </si>
  <si>
    <t>Q6.9.2</t>
  </si>
  <si>
    <t>Q6.9.3</t>
  </si>
  <si>
    <t>Q6.9.4</t>
  </si>
  <si>
    <t>Q6.9.5</t>
  </si>
  <si>
    <t>Q6.9.6</t>
  </si>
  <si>
    <t>Q6.9.7</t>
  </si>
  <si>
    <t>Q6.9.8</t>
  </si>
  <si>
    <t>Q6.9.9</t>
  </si>
  <si>
    <t>Q6.9.10</t>
  </si>
  <si>
    <t>Q6.10</t>
  </si>
  <si>
    <t>Q6.10.1</t>
  </si>
  <si>
    <t>Q6.10.2</t>
  </si>
  <si>
    <t>Q6.10.3</t>
  </si>
  <si>
    <t>Q6.10.4</t>
  </si>
  <si>
    <t>Q6.10.5</t>
  </si>
  <si>
    <t>Q6.10.6</t>
  </si>
  <si>
    <t>Q6.10.7</t>
  </si>
  <si>
    <t>Q6.10.8</t>
  </si>
  <si>
    <t>Q6.10.9</t>
  </si>
  <si>
    <t>Q6.10.10</t>
  </si>
  <si>
    <t>Q6.11</t>
  </si>
  <si>
    <t>Q6.11.1</t>
  </si>
  <si>
    <t>Q6.11.2</t>
  </si>
  <si>
    <t>Q6.11.3</t>
  </si>
  <si>
    <t>Q6.11.4</t>
  </si>
  <si>
    <t>Q6.11.5</t>
  </si>
  <si>
    <t>Q6.11.6</t>
  </si>
  <si>
    <t>Q6.11.7</t>
  </si>
  <si>
    <t>Q6.11.8</t>
  </si>
  <si>
    <t>Q6.11.9</t>
  </si>
  <si>
    <t>Q6.11.10</t>
  </si>
  <si>
    <t>Q6.12</t>
  </si>
  <si>
    <t>Q6.12.1</t>
  </si>
  <si>
    <t>Q6.12.2</t>
  </si>
  <si>
    <t>Q6.12.3</t>
  </si>
  <si>
    <t>Q6.12.4</t>
  </si>
  <si>
    <t>Q6.12.5</t>
  </si>
  <si>
    <t>Q6.12.6</t>
  </si>
  <si>
    <t>Q6.12.7</t>
  </si>
  <si>
    <t>Q6.12.8</t>
  </si>
  <si>
    <t>Q6.12.9</t>
  </si>
  <si>
    <t>Q6.12.10</t>
  </si>
  <si>
    <t>Q6.13</t>
  </si>
  <si>
    <t>Q6.13.1</t>
  </si>
  <si>
    <t>Q6.13.2</t>
  </si>
  <si>
    <t>Q6.13.3</t>
  </si>
  <si>
    <t>Q6.13.4</t>
  </si>
  <si>
    <t>Q6.13.5</t>
  </si>
  <si>
    <t>Q6.13.6</t>
  </si>
  <si>
    <t>Q6.13.7</t>
  </si>
  <si>
    <t>Q6.13.8</t>
  </si>
  <si>
    <t>Q6.13.9</t>
  </si>
  <si>
    <t>Q6.13.10</t>
  </si>
  <si>
    <r>
      <rPr>
        <b/>
        <sz val="10"/>
        <color theme="1"/>
        <rFont val="Arial"/>
        <family val="2"/>
      </rPr>
      <t xml:space="preserve">Parts 1, 2 and 3: </t>
    </r>
    <r>
      <rPr>
        <sz val="10"/>
        <color theme="1"/>
        <rFont val="Arial"/>
        <family val="2"/>
      </rPr>
      <t xml:space="preserve"> Any supporting information to support the responses to Parts 1, 2 and 3.  Please see the check list below for a summary of all the supporting information which may be required.</t>
    </r>
  </si>
  <si>
    <r>
      <rPr>
        <b/>
        <sz val="10"/>
        <color theme="1"/>
        <rFont val="Arial"/>
        <family val="2"/>
      </rPr>
      <t>Part 1</t>
    </r>
    <r>
      <rPr>
        <sz val="10"/>
        <color theme="1"/>
        <rFont val="Arial"/>
        <family val="2"/>
      </rPr>
      <t xml:space="preserve"> </t>
    </r>
    <r>
      <rPr>
        <b/>
        <sz val="10"/>
        <color theme="1"/>
        <rFont val="Arial"/>
        <family val="2"/>
      </rPr>
      <t>- Declaration:</t>
    </r>
    <r>
      <rPr>
        <sz val="10"/>
        <color theme="1"/>
        <rFont val="Arial"/>
        <family val="2"/>
      </rPr>
      <t xml:space="preserve"> must be signed, in accordance with the instructions outlined in paragraph 1.12.4 of Document 1, and returned as a scanned PDF document.</t>
    </r>
  </si>
  <si>
    <r>
      <rPr>
        <b/>
        <sz val="10"/>
        <color theme="1"/>
        <rFont val="Arial"/>
        <family val="2"/>
      </rPr>
      <t>Regulation 57 (8)</t>
    </r>
    <r>
      <rPr>
        <sz val="10"/>
        <color theme="1"/>
        <rFont val="Arial"/>
        <family val="2"/>
      </rPr>
      <t xml:space="preserve">
The detailed grounds for discretionary exclusion of an organisation are set out on this web page, which should be referred to before completing these questions.
Please indicate if, within the past three years, anywhere in the world any of the following situations have applied to you, your organisation or any other person who has powers of representation, decision or control in the organisation.</t>
    </r>
  </si>
  <si>
    <r>
      <rPr>
        <b/>
        <sz val="10"/>
        <color theme="1"/>
        <rFont val="Arial"/>
        <family val="2"/>
      </rPr>
      <t>Regulations 57(1) and (2)</t>
    </r>
    <r>
      <rPr>
        <sz val="10"/>
        <color theme="1"/>
        <rFont val="Arial"/>
        <family val="2"/>
      </rPr>
      <t xml:space="preserve">
The detailed grounds for mandatory exclusion of an organisation are set out on this web page, which should be referred to before completing these questions.
Please indicate if, within the past five years you, your organisation or any other person who has powers of representation, decision or control in the organisation been convicted anywhere in the world of any of the offences within the summary below and listed on the webpage.</t>
    </r>
  </si>
  <si>
    <r>
      <rPr>
        <b/>
        <sz val="10"/>
        <color theme="1"/>
        <rFont val="Arial"/>
        <family val="2"/>
      </rPr>
      <t>Regulation 57(3)</t>
    </r>
    <r>
      <rPr>
        <sz val="10"/>
        <color theme="1"/>
        <rFont val="Arial"/>
        <family val="2"/>
      </rPr>
      <t xml:space="preserve">
Has it been established, for your organisation by a judicial or administrative decision having final and binding effect in accordance with the legal provisions of any part of the United Kingdom or the legal provisions of the country in which the organisation is established (if outside the UK), that the organisation is in breach of obligations related to the payment of tax or social security contributions?</t>
    </r>
  </si>
  <si>
    <r>
      <rPr>
        <b/>
        <sz val="10"/>
        <color theme="1"/>
        <rFont val="Arial"/>
        <family val="2"/>
      </rPr>
      <t>This document:</t>
    </r>
    <r>
      <rPr>
        <sz val="10"/>
        <color theme="1"/>
        <rFont val="Arial"/>
        <family val="2"/>
      </rPr>
      <t xml:space="preserve">  With all green cells fully completed and submitted in Excel.</t>
    </r>
  </si>
  <si>
    <t>Feedback</t>
  </si>
  <si>
    <t>Number of contractors to be appointed</t>
  </si>
  <si>
    <t>Division into lots</t>
  </si>
  <si>
    <t>Annual value type</t>
  </si>
  <si>
    <t>No</t>
  </si>
  <si>
    <t>SQ_Issue_date</t>
  </si>
  <si>
    <t>SQ_Clarification_deadline</t>
  </si>
  <si>
    <t>SQ_Return_date</t>
  </si>
  <si>
    <t>SQ_Return_time</t>
  </si>
  <si>
    <t>SQ_Evaluation_start</t>
  </si>
  <si>
    <t>SQ_Evaluation_end</t>
  </si>
  <si>
    <t>SQ_Feedback</t>
  </si>
  <si>
    <t>Include?</t>
  </si>
  <si>
    <t>Value_type</t>
  </si>
  <si>
    <t>Value_Max</t>
  </si>
  <si>
    <t>Value_Min</t>
  </si>
  <si>
    <t>Cons_Min</t>
  </si>
  <si>
    <t>Props</t>
  </si>
  <si>
    <t>Cons_Max</t>
  </si>
  <si>
    <t>Type</t>
  </si>
  <si>
    <t>Overview</t>
  </si>
  <si>
    <t>Sub-question</t>
  </si>
  <si>
    <t>No.subs</t>
  </si>
  <si>
    <t>Max score</t>
  </si>
  <si>
    <t>Word limit</t>
  </si>
  <si>
    <t>App_pages</t>
  </si>
  <si>
    <t>Q_No</t>
  </si>
  <si>
    <t>App_sub-qs</t>
  </si>
  <si>
    <t>Total</t>
  </si>
  <si>
    <t>Yes/No</t>
  </si>
  <si>
    <t>Lot No.</t>
  </si>
  <si>
    <t>Lot 1</t>
  </si>
  <si>
    <t>Lot 2</t>
  </si>
  <si>
    <t>Lot 3</t>
  </si>
  <si>
    <t>Lot 4</t>
  </si>
  <si>
    <t>Lot 5</t>
  </si>
  <si>
    <t>Lot</t>
  </si>
  <si>
    <t>Included?</t>
  </si>
  <si>
    <t>Lot_1</t>
  </si>
  <si>
    <t xml:space="preserve"> should have a word count of not more than </t>
  </si>
  <si>
    <t>Details</t>
  </si>
  <si>
    <t>Score</t>
  </si>
  <si>
    <t>Subs</t>
  </si>
  <si>
    <t>App</t>
  </si>
  <si>
    <t>Contract 1:</t>
  </si>
  <si>
    <t xml:space="preserve">Name of customer organisation
Point of contact in the organisation
Position in the organisation
E-mail address
Description of contract
Contract Start date
Contract completion date
Estimated contract value
</t>
  </si>
  <si>
    <t>Contract 2:</t>
  </si>
  <si>
    <t>Contract 3:</t>
  </si>
  <si>
    <t>Lot_2</t>
  </si>
  <si>
    <t>Lot_5</t>
  </si>
  <si>
    <t>Lot_4</t>
  </si>
  <si>
    <t>Lot_3</t>
  </si>
  <si>
    <t>Lot_1_Name</t>
  </si>
  <si>
    <t>Lot_1_Description</t>
  </si>
  <si>
    <t>Lot_1_Props</t>
  </si>
  <si>
    <t>Lot_1_Value_type</t>
  </si>
  <si>
    <t>Lot_1_Value_Max</t>
  </si>
  <si>
    <t>Lot_1_Value_Min</t>
  </si>
  <si>
    <t>Lot_1_Cons_Min</t>
  </si>
  <si>
    <t>Lot_1_Cons_Max</t>
  </si>
  <si>
    <t>Lot_2_Name</t>
  </si>
  <si>
    <t>Lot_2_Description</t>
  </si>
  <si>
    <t>Lot_2_Props</t>
  </si>
  <si>
    <t>Lot_2_Value_type</t>
  </si>
  <si>
    <t>Lot_2_Value_Max</t>
  </si>
  <si>
    <t>Lot_2_Value_Min</t>
  </si>
  <si>
    <t>Lot_2_Cons_Min</t>
  </si>
  <si>
    <t>Lot_2_Cons_Max</t>
  </si>
  <si>
    <t>Lot_3_Name</t>
  </si>
  <si>
    <t>Lot_3_Description</t>
  </si>
  <si>
    <t>Lot_3_Props</t>
  </si>
  <si>
    <t>Lot_3_Value_type</t>
  </si>
  <si>
    <t>Lot_3_Value_Max</t>
  </si>
  <si>
    <t>Lot_3_Value_Min</t>
  </si>
  <si>
    <t>Lot_3_Cons_Min</t>
  </si>
  <si>
    <t>Lot_3_Cons_Max</t>
  </si>
  <si>
    <t>Lot_4_Name</t>
  </si>
  <si>
    <t>Lot_4_Description</t>
  </si>
  <si>
    <t>Lot_4_Props</t>
  </si>
  <si>
    <t>Lot_4_Value_type</t>
  </si>
  <si>
    <t>Lot_4_Value_Max</t>
  </si>
  <si>
    <t>Lot_4_Value_Min</t>
  </si>
  <si>
    <t>Lot_4_Cons_Min</t>
  </si>
  <si>
    <t>Lot_4_Cons_Max</t>
  </si>
  <si>
    <t>Lot_5_Name</t>
  </si>
  <si>
    <t>Lot_5_Description</t>
  </si>
  <si>
    <t>Lot_5_Props</t>
  </si>
  <si>
    <t>Lot_5_Value_type</t>
  </si>
  <si>
    <t>Lot_5_Value_Max</t>
  </si>
  <si>
    <t>Lot_5_Value_Min</t>
  </si>
  <si>
    <t>Lot_5_Cons_Min</t>
  </si>
  <si>
    <t>Lot_5_Cons_Max</t>
  </si>
  <si>
    <t>Weighted questions?</t>
  </si>
  <si>
    <t>3_6_Lot_1_Complete?</t>
  </si>
  <si>
    <t>Lot_1_Q1or3</t>
  </si>
  <si>
    <t>Lot_5_Q1or3</t>
  </si>
  <si>
    <t>3_6_Lot_5_Complete?</t>
  </si>
  <si>
    <t>3_6_Lot_2_Complete?</t>
  </si>
  <si>
    <t>Lot_2_Q1or3</t>
  </si>
  <si>
    <t>3_6_Lot_3_Complete?</t>
  </si>
  <si>
    <t>Lot_3_Q1or3</t>
  </si>
  <si>
    <t>3_6_Lot_4_Complete?</t>
  </si>
  <si>
    <t>Lot_4_Q1or3</t>
  </si>
  <si>
    <t>Lots_Complete?</t>
  </si>
  <si>
    <t>Weighting</t>
  </si>
  <si>
    <t>Weighting tables</t>
  </si>
  <si>
    <t>Q.no</t>
  </si>
  <si>
    <t>Max marks</t>
  </si>
  <si>
    <t>Calculation</t>
  </si>
  <si>
    <t>Total:</t>
  </si>
  <si>
    <t>Sum of all weighted question totals</t>
  </si>
  <si>
    <t>Limit_Award?</t>
  </si>
  <si>
    <t>Max_Award</t>
  </si>
  <si>
    <t>Award of lots</t>
  </si>
  <si>
    <t>Will a Tenderer be limited on the no of lots they can win?</t>
  </si>
  <si>
    <t>Will the client undertake a financial evaluation?</t>
  </si>
  <si>
    <t>Fin_Check</t>
  </si>
  <si>
    <t>Financial requirements</t>
  </si>
  <si>
    <t>Job_Title</t>
  </si>
  <si>
    <t>Emma Pell</t>
  </si>
  <si>
    <t>Procurement Manager</t>
  </si>
  <si>
    <t>Fran Wright</t>
  </si>
  <si>
    <t>Technical Administrator</t>
  </si>
  <si>
    <t>Associate</t>
  </si>
  <si>
    <t>Julie Watts</t>
  </si>
  <si>
    <t>Karen Weeks</t>
  </si>
  <si>
    <t>Lee Maskell</t>
  </si>
  <si>
    <t>Equity Partner</t>
  </si>
  <si>
    <t>Lynn Bekir</t>
  </si>
  <si>
    <t>Paul Smith</t>
  </si>
  <si>
    <t>Senior Associate</t>
  </si>
  <si>
    <t>Sharline Peters</t>
  </si>
  <si>
    <t>Other (Please specify)</t>
  </si>
  <si>
    <t>ADD DETAILS ON DOCUMENT</t>
  </si>
  <si>
    <t>Activity</t>
  </si>
  <si>
    <t>Date Completed</t>
  </si>
  <si>
    <t>Comments / Revisons made</t>
  </si>
  <si>
    <t>Name_Check</t>
  </si>
  <si>
    <t>Date_Check</t>
  </si>
  <si>
    <t>Set up spreadsheet</t>
  </si>
  <si>
    <t>Check spreadsheet</t>
  </si>
  <si>
    <t>Made revision A</t>
  </si>
  <si>
    <t>Checked revision A</t>
  </si>
  <si>
    <t>Made revision B</t>
  </si>
  <si>
    <t>Checked revision B</t>
  </si>
  <si>
    <t>Made revision C</t>
  </si>
  <si>
    <t>Checked revision C</t>
  </si>
  <si>
    <t>Made revision D</t>
  </si>
  <si>
    <t>Checked revision D</t>
  </si>
  <si>
    <t>Made revision E</t>
  </si>
  <si>
    <t>Checked revision E</t>
  </si>
  <si>
    <t>Made revision F</t>
  </si>
  <si>
    <t>Checked revision F</t>
  </si>
  <si>
    <t>Which portal is being used?</t>
  </si>
  <si>
    <t>Portal_Name</t>
  </si>
  <si>
    <t>myTenders</t>
  </si>
  <si>
    <t>Delta e-sourcing</t>
  </si>
  <si>
    <t>In-tend</t>
  </si>
  <si>
    <t>Tenders Direct</t>
  </si>
  <si>
    <t>SIMAP</t>
  </si>
  <si>
    <t>Other (please state)</t>
  </si>
  <si>
    <t>Portal</t>
  </si>
  <si>
    <t xml:space="preserve">On behalf of
</t>
  </si>
  <si>
    <t xml:space="preserve">Prepared by
</t>
  </si>
  <si>
    <t>Faithorn Farrell Timms LLP</t>
  </si>
  <si>
    <t xml:space="preserve">Note: </t>
  </si>
  <si>
    <t>[1]  For the list of exclusion please see:</t>
  </si>
  <si>
    <t>Q. No.</t>
  </si>
  <si>
    <t>Note:</t>
  </si>
  <si>
    <t>Stage</t>
  </si>
  <si>
    <t>SQ</t>
  </si>
  <si>
    <t>Issue</t>
  </si>
  <si>
    <t>Clarification</t>
  </si>
  <si>
    <t>Return</t>
  </si>
  <si>
    <t>Time</t>
  </si>
  <si>
    <t>Eval_Start</t>
  </si>
  <si>
    <t>Eval_End</t>
  </si>
  <si>
    <t>Report</t>
  </si>
  <si>
    <t>ITT</t>
  </si>
  <si>
    <t>S20</t>
  </si>
  <si>
    <t>Start</t>
  </si>
  <si>
    <t>End</t>
  </si>
  <si>
    <t>Final</t>
  </si>
  <si>
    <t>Mob</t>
  </si>
  <si>
    <t>Award</t>
  </si>
  <si>
    <t>Commence</t>
  </si>
  <si>
    <t>Uplift</t>
  </si>
  <si>
    <t>Mobilisation starts</t>
  </si>
  <si>
    <t>Working day?</t>
  </si>
  <si>
    <t>Mob_Start</t>
  </si>
  <si>
    <t xml:space="preserve"> words</t>
  </si>
  <si>
    <t xml:space="preserve">.
The maximum score for this question is </t>
  </si>
  <si>
    <t>.00 marks (</t>
  </si>
  <si>
    <t>Yes</t>
  </si>
  <si>
    <t>SQ Questions-Evaluation</t>
  </si>
  <si>
    <t>No_of_Lots_Words</t>
  </si>
  <si>
    <t>PF_or_TB?</t>
  </si>
  <si>
    <t>Lotted?</t>
  </si>
  <si>
    <t>Required?</t>
  </si>
  <si>
    <t>Section</t>
  </si>
  <si>
    <t>Tech</t>
  </si>
  <si>
    <t>Price tables</t>
  </si>
  <si>
    <t>DO NOT COPY THIS COLUMN</t>
  </si>
  <si>
    <t>Maximum points available</t>
  </si>
  <si>
    <t>Abbreviated description</t>
  </si>
  <si>
    <t>Summary tables</t>
  </si>
  <si>
    <t>Criteria</t>
  </si>
  <si>
    <t>Max. score</t>
  </si>
  <si>
    <t>Formulae used to calculate the scores awarded to a Tenderer</t>
  </si>
  <si>
    <t>Price</t>
  </si>
  <si>
    <t>SQ_Weighted?</t>
  </si>
  <si>
    <t>Check</t>
  </si>
  <si>
    <t>App_Q</t>
  </si>
  <si>
    <t>Shade?</t>
  </si>
  <si>
    <t xml:space="preserve">.00 elements x </t>
  </si>
  <si>
    <t>Parisa Lewis</t>
  </si>
  <si>
    <t>Team Secretary</t>
  </si>
  <si>
    <t>Senior Quantity Surveyor</t>
  </si>
  <si>
    <t>Jon Grose</t>
  </si>
  <si>
    <t>Offices</t>
  </si>
  <si>
    <t>Address</t>
  </si>
  <si>
    <t>Tel</t>
  </si>
  <si>
    <t>Brighton</t>
  </si>
  <si>
    <t>10 Hunns Mere Way, Woodingdean Business Park, Brighton, BN2 6AH</t>
  </si>
  <si>
    <t>01273 305 027</t>
  </si>
  <si>
    <t>Cardiff</t>
  </si>
  <si>
    <t>The Maltings, East Tyndall Street, Cardiff, CF24 5EA</t>
  </si>
  <si>
    <t>02920 351 531</t>
  </si>
  <si>
    <t>Gateshead</t>
  </si>
  <si>
    <t>Pinetree Centre, Durham Road, Birtley, DH3 2TD</t>
  </si>
  <si>
    <t>0191 492 8200</t>
  </si>
  <si>
    <t>Orpington</t>
  </si>
  <si>
    <t>Central Court, Knoll Rise, Orpington, BR6 0JA</t>
  </si>
  <si>
    <t>01689 885 080</t>
  </si>
  <si>
    <t>Potters Bar</t>
  </si>
  <si>
    <t>Maple House, High Street, Potters Bar, EN6 5BS</t>
  </si>
  <si>
    <t>01707 654 271</t>
  </si>
  <si>
    <t>NHF</t>
  </si>
  <si>
    <t>NHF Form of Contract 2011 published by M3 Housing Limited</t>
  </si>
  <si>
    <t>NHF Minor Works Form of Contract 2011 published by M3 Housing Limited</t>
  </si>
  <si>
    <t>ACA Standard Form of Contract for Project Partnering (PPC 2000 - Amended 2013) published by the Association of Consultant Architects Ltd. (ACA)</t>
  </si>
  <si>
    <t>Office publishing documents</t>
  </si>
  <si>
    <t>FoC</t>
  </si>
  <si>
    <t>CA, CR, etc.?</t>
  </si>
  <si>
    <t>ACA Framework Alliance Contract (FAC-1) published by the The Association of Consultant Architects Ltd. (ACA)</t>
  </si>
  <si>
    <t>ACA Term Alliance Contract (TAC-1) published by the The Association of Consultant Architects Ltd. (ACA)</t>
  </si>
  <si>
    <t>Threshold</t>
  </si>
  <si>
    <t>IntSV_Advise</t>
  </si>
  <si>
    <t>IntSV_Start</t>
  </si>
  <si>
    <t>IntSV_End</t>
  </si>
  <si>
    <t>Int_or_SV</t>
  </si>
  <si>
    <t>Tender</t>
  </si>
  <si>
    <t>Min. to Tender</t>
  </si>
  <si>
    <t>Name of the incumbent 1</t>
  </si>
  <si>
    <t>Name of the incumbent 2</t>
  </si>
  <si>
    <t>Name of the incumbent 3</t>
  </si>
  <si>
    <t>Name of the incumbent 4</t>
  </si>
  <si>
    <t>Name of the incumbent 5</t>
  </si>
  <si>
    <t>Stage?</t>
  </si>
  <si>
    <t>Initial</t>
  </si>
  <si>
    <t>Abb_Stage</t>
  </si>
  <si>
    <t>Final Issue date</t>
  </si>
  <si>
    <t>Final Clarification deadline</t>
  </si>
  <si>
    <t>Final Return date</t>
  </si>
  <si>
    <t>Final Return time</t>
  </si>
  <si>
    <t>Final Evaluation start</t>
  </si>
  <si>
    <t>Final Evaluation end</t>
  </si>
  <si>
    <t>Final Report to client</t>
  </si>
  <si>
    <t>Final tender dates</t>
  </si>
  <si>
    <t>Round 1 starts</t>
  </si>
  <si>
    <t>Round 1 ends</t>
  </si>
  <si>
    <t>Round 2 starts</t>
  </si>
  <si>
    <t>Round 2 ends</t>
  </si>
  <si>
    <t>Neg</t>
  </si>
  <si>
    <t>1_Start</t>
  </si>
  <si>
    <t>1_End</t>
  </si>
  <si>
    <t>2_Start</t>
  </si>
  <si>
    <t>2_End</t>
  </si>
  <si>
    <t>Sub_No</t>
  </si>
  <si>
    <t>.1</t>
  </si>
  <si>
    <t>.3</t>
  </si>
  <si>
    <t>.4</t>
  </si>
  <si>
    <t>.5</t>
  </si>
  <si>
    <t>.2</t>
  </si>
  <si>
    <t>.6</t>
  </si>
  <si>
    <t>.7</t>
  </si>
  <si>
    <t>.8</t>
  </si>
  <si>
    <t>.9</t>
  </si>
  <si>
    <t>.10</t>
  </si>
  <si>
    <t>Neg_Min</t>
  </si>
  <si>
    <t>Neg_Max</t>
  </si>
  <si>
    <t>Tender_Stage</t>
  </si>
  <si>
    <t>The client reserves the right to reject any submission that does not comply with these requirements.</t>
  </si>
  <si>
    <t>PAS</t>
  </si>
  <si>
    <t>services</t>
  </si>
  <si>
    <t>works</t>
  </si>
  <si>
    <t>SA</t>
  </si>
  <si>
    <t>Less than £25k</t>
  </si>
  <si>
    <t>Greater than £25K, but below £181k</t>
  </si>
  <si>
    <t>Greater than £181K, but below £4.5M</t>
  </si>
  <si>
    <t>Greater than £181K</t>
  </si>
  <si>
    <t>supplies</t>
  </si>
  <si>
    <t>What is the total contract value?</t>
  </si>
  <si>
    <t>Greater than £4.5M</t>
  </si>
  <si>
    <t>Suitability assessment, SQ, PAS 91 or ESPD?</t>
  </si>
  <si>
    <t>SQ_List_1</t>
  </si>
  <si>
    <t>SQ_List_2</t>
  </si>
  <si>
    <t>SQ_List_3</t>
  </si>
  <si>
    <t>ESPD</t>
  </si>
  <si>
    <t>Open Procedure</t>
  </si>
  <si>
    <t>Restricted Procedure</t>
  </si>
  <si>
    <t>Competitive Procedure with Negotiation</t>
  </si>
  <si>
    <t>Competitive Dialogue Procedure</t>
  </si>
  <si>
    <t>Innovation Partnership Procedure</t>
  </si>
  <si>
    <t>Terminology</t>
  </si>
  <si>
    <t>Final_Feedback</t>
  </si>
  <si>
    <t>Question / Sub-question</t>
  </si>
  <si>
    <t>Request up to date accounts?</t>
  </si>
  <si>
    <t>Request up to date insurances?</t>
  </si>
  <si>
    <t>Other information required?</t>
  </si>
  <si>
    <t>*It is a legal requirement that all companies hold Employer’s (Compulsory) Liability Insurance of £5 million as a minimum. Please note this requirement is not applicable to Sole Traders.</t>
  </si>
  <si>
    <t>Q4.1</t>
  </si>
  <si>
    <t>Q4.2</t>
  </si>
  <si>
    <t>Q4.3</t>
  </si>
  <si>
    <t>Q4.4</t>
  </si>
  <si>
    <t>Q4.5</t>
  </si>
  <si>
    <t>Q4.6</t>
  </si>
  <si>
    <t>Q4.7</t>
  </si>
  <si>
    <t>Q4.8</t>
  </si>
  <si>
    <t>Q4.9</t>
  </si>
  <si>
    <t>Q4.10</t>
  </si>
  <si>
    <t>Q5.1</t>
  </si>
  <si>
    <t>Q5.2</t>
  </si>
  <si>
    <t>Q5.3</t>
  </si>
  <si>
    <t>Q5.4</t>
  </si>
  <si>
    <t>Q5.5</t>
  </si>
  <si>
    <t>.00 marks)</t>
  </si>
  <si>
    <t>Is an ESP required?</t>
  </si>
  <si>
    <t>Insurance value - Product Liability</t>
  </si>
  <si>
    <t>Insurance value - Public/Third Party</t>
  </si>
  <si>
    <t>Insurance_Product</t>
  </si>
  <si>
    <t>Q. Ref</t>
  </si>
  <si>
    <t>PCG or Performance bond?</t>
  </si>
  <si>
    <t>Supplier_Name</t>
  </si>
  <si>
    <t>3_6_Lot_1_Q6.1</t>
  </si>
  <si>
    <t>3_6_Lot_1_Q6.3</t>
  </si>
  <si>
    <t>3_6_Lot_2_Q6.1</t>
  </si>
  <si>
    <t>3_6_Lot_3_Q6.1</t>
  </si>
  <si>
    <t>3_6_Lot_4_Q6.1</t>
  </si>
  <si>
    <t>3_6_Lot_5_Q6.1</t>
  </si>
  <si>
    <t>3_6_Lot_2_Q6.3</t>
  </si>
  <si>
    <t>3_6_Lot_3_Q6.3</t>
  </si>
  <si>
    <t>3_6_Lot_4_Q6.3</t>
  </si>
  <si>
    <t>3_6_Lot_5_Q6.3</t>
  </si>
  <si>
    <t>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Q6.3</t>
  </si>
  <si>
    <t xml:space="preserve">Relevant experience and contract examples
</t>
  </si>
  <si>
    <t>Q6.2.1</t>
  </si>
  <si>
    <t>Q6.2.2</t>
  </si>
  <si>
    <t>Q6.2.3</t>
  </si>
  <si>
    <t>Q6.2.4</t>
  </si>
  <si>
    <t>Q6.2.5</t>
  </si>
  <si>
    <t>Q6.2.6</t>
  </si>
  <si>
    <t>Q6.2.7</t>
  </si>
  <si>
    <t>Q6.2.8</t>
  </si>
  <si>
    <t>Q6.2.9</t>
  </si>
  <si>
    <t>Q6.2.10</t>
  </si>
  <si>
    <t>Q6.3.1</t>
  </si>
  <si>
    <t>Q6.3.2</t>
  </si>
  <si>
    <t>Q6.3.3</t>
  </si>
  <si>
    <t>Q6.3.4</t>
  </si>
  <si>
    <t>Q6.3.5</t>
  </si>
  <si>
    <t>Q6.3.6</t>
  </si>
  <si>
    <t>Q6.3.7</t>
  </si>
  <si>
    <t>Q6.3.8</t>
  </si>
  <si>
    <t>Q6.3.9</t>
  </si>
  <si>
    <t>Q6.3.10</t>
  </si>
  <si>
    <t>Use</t>
  </si>
  <si>
    <t xml:space="preserve">Other </t>
  </si>
  <si>
    <t>Office_Address</t>
  </si>
  <si>
    <t>Office_Number</t>
  </si>
  <si>
    <t>Doc_Date</t>
  </si>
  <si>
    <t>Marking methodology</t>
  </si>
  <si>
    <t>SQ_Marking</t>
  </si>
  <si>
    <t>Q6.1.4</t>
  </si>
  <si>
    <t>Q6.1.5</t>
  </si>
  <si>
    <t>Q6.1.6</t>
  </si>
  <si>
    <t>Q6.1.7</t>
  </si>
  <si>
    <t>Q6.1.8</t>
  </si>
  <si>
    <t>Q6.1.9</t>
  </si>
  <si>
    <t>Q6.1.10</t>
  </si>
  <si>
    <t>Draft for SQ stage or final?</t>
  </si>
  <si>
    <t>Draft</t>
  </si>
  <si>
    <t>No (Closed list)</t>
  </si>
  <si>
    <t>PAS_or_SQ?</t>
  </si>
  <si>
    <t>SQ_Same_Qs?</t>
  </si>
  <si>
    <t>SQ_Same_Response?</t>
  </si>
  <si>
    <t>ISFT_Min</t>
  </si>
  <si>
    <t>ISFT_Max</t>
  </si>
  <si>
    <t>All</t>
  </si>
  <si>
    <t>Supplier_Type</t>
  </si>
  <si>
    <t>Section 4:  Economic and Financial Standing</t>
  </si>
  <si>
    <t>4.1(a)</t>
  </si>
  <si>
    <t>4.1(b)</t>
  </si>
  <si>
    <t>4.1(c)</t>
  </si>
  <si>
    <t>Copy of your audited accounts for the last two years</t>
  </si>
  <si>
    <t>This Document 3 relates to</t>
  </si>
  <si>
    <t>Property type</t>
  </si>
  <si>
    <t>properties</t>
  </si>
  <si>
    <t>site</t>
  </si>
  <si>
    <t>sites</t>
  </si>
  <si>
    <t>estate</t>
  </si>
  <si>
    <t>property</t>
  </si>
  <si>
    <t>estates</t>
  </si>
  <si>
    <t>block</t>
  </si>
  <si>
    <t>blocks</t>
  </si>
  <si>
    <t>Insurance requirements and guarantees</t>
  </si>
  <si>
    <t>Approx?</t>
  </si>
  <si>
    <t>Type_Prop</t>
  </si>
  <si>
    <t>Lot_1_Approx</t>
  </si>
  <si>
    <t>Lot_2_Approx</t>
  </si>
  <si>
    <t>Lot_3_Approx</t>
  </si>
  <si>
    <t>Lot_4_Approx</t>
  </si>
  <si>
    <t>Lot_5_Approx</t>
  </si>
  <si>
    <t>Lot_1_Type</t>
  </si>
  <si>
    <t>Lot_2_Type</t>
  </si>
  <si>
    <t>Lot_3_Type</t>
  </si>
  <si>
    <t>Lot_5_Type</t>
  </si>
  <si>
    <t>including in respect of organizational technical and/or professional capability</t>
  </si>
  <si>
    <t>Technical and Profession Ability - Project Specific Questions</t>
  </si>
  <si>
    <t xml:space="preserve">s must answer all questions in this Section. The responses will be assessed to ascertain the </t>
  </si>
  <si>
    <t xml:space="preserve">’s / Group's level of technical experience, competence, capacity and expertise in relation to the </t>
  </si>
  <si>
    <t xml:space="preserve"> for which it is applying.</t>
  </si>
  <si>
    <t xml:space="preserve">When responding to the questions set out below, the </t>
  </si>
  <si>
    <t xml:space="preserve"> / Group must ensure that a full and accurate description of experience is provided in a clear and meaningful manner.  The </t>
  </si>
  <si>
    <t xml:space="preserve">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t>
  </si>
  <si>
    <t xml:space="preserve">The </t>
  </si>
  <si>
    <t xml:space="preserve"> / Group hereby confirms that the Contracting Authority may contact the Clients / Employers stated below for the subject case studies contracts in order to obtain a reference for the purpose of validating the answer to this question only.</t>
  </si>
  <si>
    <t>Lot_4_Type</t>
  </si>
  <si>
    <t>Lot_Ref</t>
  </si>
  <si>
    <t>Heading</t>
  </si>
  <si>
    <t>Details of Lot 2</t>
  </si>
  <si>
    <t>Supporting information at Tender/Final Tender stage?</t>
  </si>
  <si>
    <t>Project Delivery Questions-Evaluation</t>
  </si>
  <si>
    <t>Details of Lot 3</t>
  </si>
  <si>
    <t>Details of Lot 4</t>
  </si>
  <si>
    <t>Details of Lot 5</t>
  </si>
  <si>
    <t>SQ specific questions</t>
  </si>
  <si>
    <t>What is the maximum no. they can win?</t>
  </si>
  <si>
    <t>Do Candidates need to submit a copy of accounts?</t>
  </si>
  <si>
    <t>Is the client part of central government?</t>
  </si>
  <si>
    <t>What is the maximum value of the contract, or any call-off contract?</t>
  </si>
  <si>
    <t>Optional modules to include?</t>
  </si>
  <si>
    <t>Public Sector procurement?</t>
  </si>
  <si>
    <t>Defence and Security procurement?</t>
  </si>
  <si>
    <t>Equal opportunity, diversity policy &amp; capability</t>
  </si>
  <si>
    <t>Environmental management policy &amp; capability</t>
  </si>
  <si>
    <t>Quality management policy &amp; capability</t>
  </si>
  <si>
    <t>Building information modelling policy &amp; capability</t>
  </si>
  <si>
    <t>Interview or Site Visit?</t>
  </si>
  <si>
    <t>Use the same questions for all lots?</t>
  </si>
  <si>
    <t>One set of responses required?</t>
  </si>
  <si>
    <t>Weight individual questions?</t>
  </si>
  <si>
    <t>Interview or Site Visit Questions-Evaluation</t>
  </si>
  <si>
    <t>Maximum weighting for all questions</t>
  </si>
  <si>
    <t>Name of this lot</t>
  </si>
  <si>
    <t>Description for this lot</t>
  </si>
  <si>
    <t>Min no. contractors to be appointed to this lot</t>
  </si>
  <si>
    <t>Max no. contractors to be appointed to this lot</t>
  </si>
  <si>
    <t>Final tender - Min. no. to invite for this lot?</t>
  </si>
  <si>
    <t>Final tender - Max. no. to invite for this lot?</t>
  </si>
  <si>
    <t>Property type for this lot</t>
  </si>
  <si>
    <t>R_Check</t>
  </si>
  <si>
    <t>C_Check</t>
  </si>
  <si>
    <t>Options</t>
  </si>
  <si>
    <t>Advise interview/site visit slots</t>
  </si>
  <si>
    <t>Interview/site visit start date</t>
  </si>
  <si>
    <t>Interview/site visit end date</t>
  </si>
  <si>
    <t>D_Check</t>
  </si>
  <si>
    <t>Islington and Shoreditch Housing Association</t>
  </si>
  <si>
    <t>ISHA</t>
  </si>
  <si>
    <t>T1-5622</t>
  </si>
  <si>
    <t>Jennifer Hopkins</t>
  </si>
  <si>
    <t>Dynamic Purchasing System - Responsive Repairs and Voids</t>
  </si>
  <si>
    <t>reactive maintenance services</t>
  </si>
  <si>
    <t xml:space="preserve">102 Blackstock Road, London N4 2DR </t>
  </si>
  <si>
    <t>North and East London</t>
  </si>
  <si>
    <t>approximately</t>
  </si>
  <si>
    <t>Either</t>
  </si>
  <si>
    <t>General Builder</t>
  </si>
  <si>
    <t>multi-trade including carpentry, plastering, decorating, groundworks, brickworks, etc.</t>
  </si>
  <si>
    <t>Single figure</t>
  </si>
  <si>
    <t>Details of Lot 6</t>
  </si>
  <si>
    <t>Need to add voids value</t>
  </si>
  <si>
    <t>Plumbing</t>
  </si>
  <si>
    <t>Electrics</t>
  </si>
  <si>
    <t>Drainage</t>
  </si>
  <si>
    <t>Roofing</t>
  </si>
  <si>
    <t>Glazing, ironmongery and locksmith</t>
  </si>
  <si>
    <t>0 to 5</t>
  </si>
  <si>
    <t>Average</t>
  </si>
  <si>
    <t>Associate Partner</t>
  </si>
  <si>
    <t>Lot_6</t>
  </si>
  <si>
    <t>Lot 6</t>
  </si>
  <si>
    <t>Lot_6_Name</t>
  </si>
  <si>
    <t>Lot_6_Description</t>
  </si>
  <si>
    <t>Lot_6_Approx</t>
  </si>
  <si>
    <t>Lot_6_Props</t>
  </si>
  <si>
    <t>Lot_6_Type</t>
  </si>
  <si>
    <t>Lot_6_Value_type</t>
  </si>
  <si>
    <t>Lot_6_Value_Max</t>
  </si>
  <si>
    <t>Lot_6_Value_Min</t>
  </si>
  <si>
    <t>Lot_6_Cons_Min</t>
  </si>
  <si>
    <t>Lot_6_Cons_Max</t>
  </si>
  <si>
    <t>The assessment of the Candidate / Groups' responses to technical questions set out below will be on a 'Pass / Fail' basis. Candidates / Groups are to note that the Contracting Authority wishes to ensure that only suitably qualified and experienced organisations are considered for contracts.  Therefore a 'Fail' will be awarded if the Candidate / Groups' responses do not demonstrate suitable levels of qualification and experiance.</t>
  </si>
  <si>
    <t>If a 'Fail' is awarded, the Candidate / Group will not be invited to join the DPS at this time.</t>
  </si>
  <si>
    <t>Candidates should refer to Part 1 of Document 1 for further instructions on how to present the responses.</t>
  </si>
  <si>
    <r>
      <rPr>
        <b/>
        <sz val="10"/>
        <color theme="1"/>
        <rFont val="Arial"/>
        <family val="2"/>
      </rPr>
      <t xml:space="preserve">Part 3 - Section 6:  </t>
    </r>
    <r>
      <rPr>
        <sz val="10"/>
        <color theme="1"/>
        <rFont val="Arial"/>
        <family val="2"/>
      </rPr>
      <t>Please submit one word document for each lot you are applying for, containing your response to the questions in Part 3 - Section 6.  Please see document 1 for further details on how to present the responses.</t>
    </r>
  </si>
  <si>
    <t>Email: dps@effefftee.co.uk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</si>
</sst>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hh:mm:ss;@"/>
    <numFmt numFmtId="169" formatCode="&quot;£&quot;#,##0.00"/>
  </numFmts>
  <fonts count="108">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Calibri"/>
      <family val="2"/>
      <scheme val="minor"/>
    </font>
    <font>
      <sz val="10"/>
      <name val="Arial"/>
      <family val="2"/>
    </font>
    <font>
      <u/>
      <sz val="11"/>
      <color theme="10"/>
      <name val="Calibri"/>
      <family val="2"/>
      <scheme val="minor"/>
    </font>
    <font>
      <u/>
      <sz val="10"/>
      <color indexed="12"/>
      <name val="Arial"/>
      <family val="2"/>
    </font>
    <font>
      <sz val="11"/>
      <color theme="1"/>
      <name val="Arial"/>
      <family val="2"/>
    </font>
    <font>
      <sz val="8"/>
      <name val="Tahoma"/>
      <family val="2"/>
    </font>
    <font>
      <sz val="11"/>
      <color indexed="8"/>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2"/>
      <color theme="1"/>
      <name val="CG Times"/>
      <family val="2"/>
    </font>
    <font>
      <sz val="10"/>
      <color indexed="8"/>
      <name val="Arial"/>
      <family val="2"/>
    </font>
    <font>
      <sz val="10"/>
      <color theme="1"/>
      <name val="Arial"/>
      <family val="2"/>
    </font>
    <font>
      <b/>
      <sz val="10"/>
      <color theme="0"/>
      <name val="Arial"/>
      <family val="2"/>
    </font>
    <font>
      <sz val="10"/>
      <color rgb="FF333C41"/>
      <name val="Arial"/>
      <family val="2"/>
    </font>
    <font>
      <u/>
      <sz val="10"/>
      <color theme="10"/>
      <name val="Arial"/>
      <family val="2"/>
    </font>
    <font>
      <sz val="10"/>
      <color theme="0" tint="-0.499984740745262"/>
      <name val="Arial"/>
      <family val="2"/>
    </font>
    <font>
      <sz val="8"/>
      <color theme="0" tint="-0.499984740745262"/>
      <name val="Arial"/>
      <family val="2"/>
    </font>
    <font>
      <b/>
      <sz val="10"/>
      <color theme="0" tint="-0.499984740745262"/>
      <name val="Arial"/>
      <family val="2"/>
    </font>
    <font>
      <sz val="12"/>
      <color rgb="FF0074C5"/>
      <name val="Arial"/>
      <family val="2"/>
    </font>
    <font>
      <b/>
      <sz val="12"/>
      <color rgb="FF0074C5"/>
      <name val="Arial"/>
      <family val="2"/>
    </font>
    <font>
      <b/>
      <sz val="10"/>
      <color theme="1"/>
      <name val="Arial"/>
      <family val="2"/>
    </font>
    <font>
      <b/>
      <sz val="10"/>
      <color rgb="FF333C41"/>
      <name val="Arial"/>
      <family val="2"/>
    </font>
    <font>
      <sz val="12"/>
      <color theme="1"/>
      <name val="Arial"/>
      <family val="2"/>
    </font>
    <font>
      <b/>
      <sz val="12"/>
      <color theme="1"/>
      <name val="Arial"/>
      <family val="2"/>
    </font>
    <font>
      <b/>
      <sz val="10"/>
      <name val="Arial"/>
      <family val="2"/>
    </font>
    <font>
      <sz val="8"/>
      <color theme="1"/>
      <name val="Arial"/>
      <family val="2"/>
    </font>
    <font>
      <u/>
      <sz val="8"/>
      <color theme="10"/>
      <name val="Arial"/>
      <family val="2"/>
    </font>
    <font>
      <sz val="11"/>
      <color rgb="FF333C41"/>
      <name val="Arial"/>
      <family val="2"/>
    </font>
    <font>
      <sz val="10"/>
      <color rgb="FF00638B"/>
      <name val="Arial"/>
      <family val="2"/>
    </font>
    <font>
      <b/>
      <sz val="10"/>
      <color rgb="FF0074C5"/>
      <name val="Arial"/>
      <family val="2"/>
    </font>
    <font>
      <b/>
      <sz val="11"/>
      <color rgb="FF0074C5"/>
      <name val="Arial"/>
      <family val="2"/>
    </font>
    <font>
      <b/>
      <sz val="10"/>
      <color rgb="FFC9C8C6"/>
      <name val="Arial"/>
      <family val="2"/>
    </font>
    <font>
      <sz val="10"/>
      <color theme="0" tint="-0.34998626667073579"/>
      <name val="Arial"/>
      <family val="2"/>
    </font>
    <font>
      <b/>
      <sz val="11"/>
      <name val="Arial"/>
      <family val="2"/>
    </font>
    <font>
      <sz val="11"/>
      <name val="Arial"/>
      <family val="2"/>
    </font>
    <font>
      <b/>
      <sz val="11"/>
      <color rgb="FF333C41"/>
      <name val="Arial"/>
      <family val="2"/>
    </font>
    <font>
      <b/>
      <sz val="11"/>
      <color rgb="FF00638B"/>
      <name val="Arial"/>
      <family val="2"/>
    </font>
    <font>
      <sz val="11"/>
      <color rgb="FF00638B"/>
      <name val="Arial"/>
      <family val="2"/>
    </font>
    <font>
      <sz val="12"/>
      <color rgb="FF00638B"/>
      <name val="Arial"/>
      <family val="2"/>
    </font>
    <font>
      <sz val="10"/>
      <color theme="0"/>
      <name val="Arial"/>
      <family val="2"/>
    </font>
    <font>
      <sz val="11"/>
      <color theme="1"/>
      <name val="Tahoma"/>
      <family val="2"/>
    </font>
    <font>
      <sz val="10"/>
      <color theme="1"/>
      <name val="Arial"/>
      <family val="2"/>
    </font>
    <font>
      <b/>
      <sz val="10"/>
      <color rgb="FF808080"/>
      <name val="Arial"/>
      <family val="2"/>
    </font>
    <font>
      <sz val="16"/>
      <color rgb="FF0074C5"/>
      <name val="Arial"/>
      <family val="2"/>
    </font>
    <font>
      <sz val="8"/>
      <color rgb="FF0074C5"/>
      <name val="Arial"/>
      <family val="2"/>
    </font>
    <font>
      <sz val="8"/>
      <color rgb="FF2D3C46"/>
      <name val="Arial"/>
      <family val="2"/>
    </font>
    <font>
      <b/>
      <sz val="14"/>
      <color rgb="FF0074C5"/>
      <name val="Arial"/>
      <family val="2"/>
    </font>
    <font>
      <sz val="14"/>
      <color rgb="FF0074C5"/>
      <name val="Arial"/>
      <family val="2"/>
    </font>
    <font>
      <sz val="14"/>
      <color rgb="FF00638B"/>
      <name val="Arial"/>
      <family val="2"/>
    </font>
    <font>
      <sz val="14"/>
      <color theme="1"/>
      <name val="Arial"/>
      <family val="2"/>
    </font>
    <font>
      <sz val="11"/>
      <name val="Tahoma"/>
      <family val="2"/>
    </font>
    <font>
      <sz val="10"/>
      <name val="Tahoma"/>
      <family val="2"/>
    </font>
    <font>
      <sz val="11"/>
      <color rgb="FF0074C5"/>
      <name val="Arial"/>
      <family val="2"/>
    </font>
    <font>
      <u/>
      <sz val="10"/>
      <color theme="11"/>
      <name val="Arial"/>
      <family val="2"/>
    </font>
    <font>
      <sz val="8"/>
      <color rgb="FF333C41"/>
      <name val="Arial"/>
      <family val="2"/>
    </font>
    <font>
      <sz val="8"/>
      <color theme="0" tint="-0.34998626667073579"/>
      <name val="Arial"/>
      <family val="2"/>
    </font>
    <font>
      <sz val="8"/>
      <name val="Arial"/>
      <family val="2"/>
    </font>
  </fonts>
  <fills count="67">
    <fill>
      <patternFill patternType="none"/>
    </fill>
    <fill>
      <patternFill patternType="gray125"/>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39997558519241921"/>
        <bgColor indexed="64"/>
      </patternFill>
    </fill>
    <fill>
      <patternFill patternType="solid">
        <fgColor theme="4"/>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6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4" tint="0.39997558519241921"/>
      </bottom>
      <diagonal/>
    </border>
    <border>
      <left/>
      <right/>
      <top style="thin">
        <color theme="4" tint="0.399975585192419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tint="0.499954222235786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rgb="FFB4B5B2"/>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medium">
        <color rgb="FFB4B5B2"/>
      </right>
      <top style="medium">
        <color rgb="FFB4B5B2"/>
      </top>
      <bottom/>
      <diagonal/>
    </border>
    <border>
      <left style="thin">
        <color indexed="64"/>
      </left>
      <right/>
      <top/>
      <bottom/>
      <diagonal/>
    </border>
    <border>
      <left style="thin">
        <color rgb="FFA6A6A6"/>
      </left>
      <right/>
      <top style="thin">
        <color rgb="FFA6A6A6"/>
      </top>
      <bottom style="thin">
        <color theme="0" tint="-0.34998626667073579"/>
      </bottom>
      <diagonal/>
    </border>
    <border>
      <left style="thin">
        <color theme="0" tint="-0.34998626667073579"/>
      </left>
      <right/>
      <top style="thin">
        <color rgb="FFA6A6A6"/>
      </top>
      <bottom style="thin">
        <color theme="0" tint="-0.34998626667073579"/>
      </bottom>
      <diagonal/>
    </border>
    <border>
      <left style="thin">
        <color rgb="FFA6A6A6"/>
      </left>
      <right style="thin">
        <color rgb="FFA6A6A6"/>
      </right>
      <top style="thin">
        <color rgb="FFA6A6A6"/>
      </top>
      <bottom style="thin">
        <color theme="0" tint="-0.34998626667073579"/>
      </bottom>
      <diagonal/>
    </border>
    <border>
      <left style="thin">
        <color rgb="FFB4B5B2"/>
      </left>
      <right style="thin">
        <color rgb="FFB4B5B2"/>
      </right>
      <top style="thin">
        <color rgb="FFB4B5B2"/>
      </top>
      <bottom style="thin">
        <color rgb="FFB4B5B2"/>
      </bottom>
      <diagonal/>
    </border>
    <border>
      <left/>
      <right/>
      <top style="medium">
        <color rgb="FFB4B5B2"/>
      </top>
      <bottom/>
      <diagonal/>
    </border>
    <border>
      <left style="thin">
        <color indexed="64"/>
      </left>
      <right style="thin">
        <color indexed="64"/>
      </right>
      <top/>
      <bottom/>
      <diagonal/>
    </border>
    <border>
      <left style="thin">
        <color theme="0" tint="-0.249977111117893"/>
      </left>
      <right style="thin">
        <color theme="0" tint="-0.249977111117893"/>
      </right>
      <top/>
      <bottom/>
      <diagonal/>
    </border>
  </borders>
  <cellStyleXfs count="981">
    <xf numFmtId="0" fontId="0" fillId="0" borderId="0"/>
    <xf numFmtId="166" fontId="18" fillId="0" borderId="0" applyFont="0" applyFill="0" applyBorder="0" applyAlignment="0" applyProtection="0"/>
    <xf numFmtId="0" fontId="65"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10" applyNumberFormat="0" applyAlignment="0" applyProtection="0"/>
    <xf numFmtId="0" fontId="28" fillId="7" borderId="11" applyNumberFormat="0" applyAlignment="0" applyProtection="0"/>
    <xf numFmtId="0" fontId="29" fillId="7" borderId="10" applyNumberFormat="0" applyAlignment="0" applyProtection="0"/>
    <xf numFmtId="0" fontId="30" fillId="0" borderId="12" applyNumberFormat="0" applyFill="0" applyAlignment="0" applyProtection="0"/>
    <xf numFmtId="0" fontId="31" fillId="8" borderId="1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5" fillId="33" borderId="0" applyNumberFormat="0" applyBorder="0" applyAlignment="0" applyProtection="0"/>
    <xf numFmtId="0" fontId="36" fillId="0" borderId="0"/>
    <xf numFmtId="0" fontId="37" fillId="0" borderId="0"/>
    <xf numFmtId="0" fontId="38" fillId="0" borderId="0" applyNumberFormat="0" applyFill="0" applyBorder="0" applyAlignment="0" applyProtection="0"/>
    <xf numFmtId="0" fontId="37" fillId="0" borderId="0"/>
    <xf numFmtId="0" fontId="39" fillId="0" borderId="0" applyNumberFormat="0" applyFill="0" applyBorder="0" applyAlignment="0" applyProtection="0">
      <alignment vertical="top"/>
      <protection locked="0"/>
    </xf>
    <xf numFmtId="0" fontId="18" fillId="0" borderId="0"/>
    <xf numFmtId="0" fontId="18" fillId="9" borderId="14" applyNumberFormat="0" applyFont="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166" fontId="36" fillId="0" borderId="0" applyFont="0" applyFill="0" applyBorder="0" applyAlignment="0" applyProtection="0"/>
    <xf numFmtId="0" fontId="18" fillId="0" borderId="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7" fillId="0" borderId="0"/>
    <xf numFmtId="0" fontId="18" fillId="0" borderId="0"/>
    <xf numFmtId="0" fontId="18" fillId="9" borderId="14" applyNumberFormat="0" applyFont="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0" borderId="0"/>
    <xf numFmtId="0" fontId="18" fillId="9" borderId="14"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9" fontId="18" fillId="0" borderId="0" applyFont="0" applyFill="0" applyBorder="0" applyAlignment="0" applyProtection="0"/>
    <xf numFmtId="0" fontId="40" fillId="0" borderId="0"/>
    <xf numFmtId="0" fontId="18" fillId="0" borderId="0"/>
    <xf numFmtId="166" fontId="18" fillId="0" borderId="0" applyFon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10" applyNumberFormat="0" applyAlignment="0" applyProtection="0"/>
    <xf numFmtId="0" fontId="28" fillId="7" borderId="11" applyNumberFormat="0" applyAlignment="0" applyProtection="0"/>
    <xf numFmtId="0" fontId="29" fillId="7" borderId="10" applyNumberFormat="0" applyAlignment="0" applyProtection="0"/>
    <xf numFmtId="0" fontId="30" fillId="0" borderId="12" applyNumberFormat="0" applyFill="0" applyAlignment="0" applyProtection="0"/>
    <xf numFmtId="0" fontId="31" fillId="8" borderId="1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5" fillId="33" borderId="0" applyNumberFormat="0" applyBorder="0" applyAlignment="0" applyProtection="0"/>
    <xf numFmtId="9" fontId="18" fillId="0" borderId="0" applyFont="0" applyFill="0" applyBorder="0" applyAlignment="0" applyProtection="0"/>
    <xf numFmtId="0" fontId="41" fillId="0" borderId="0"/>
    <xf numFmtId="0" fontId="19" fillId="0" borderId="0"/>
    <xf numFmtId="9" fontId="36" fillId="0" borderId="0" applyFont="0" applyFill="0" applyBorder="0" applyAlignment="0" applyProtection="0"/>
    <xf numFmtId="0" fontId="37" fillId="0" borderId="0"/>
    <xf numFmtId="0" fontId="42" fillId="0" borderId="0"/>
    <xf numFmtId="0" fontId="43" fillId="37" borderId="0"/>
    <xf numFmtId="0" fontId="43" fillId="38" borderId="0"/>
    <xf numFmtId="0" fontId="43" fillId="39" borderId="0"/>
    <xf numFmtId="0" fontId="43" fillId="40" borderId="0"/>
    <xf numFmtId="0" fontId="43" fillId="41" borderId="0"/>
    <xf numFmtId="0" fontId="43" fillId="42" borderId="0"/>
    <xf numFmtId="0" fontId="43" fillId="43" borderId="0"/>
    <xf numFmtId="0" fontId="43" fillId="44" borderId="0"/>
    <xf numFmtId="0" fontId="43" fillId="45" borderId="0"/>
    <xf numFmtId="0" fontId="43" fillId="46" borderId="0"/>
    <xf numFmtId="0" fontId="43" fillId="47" borderId="0"/>
    <xf numFmtId="0" fontId="43" fillId="48" borderId="0"/>
    <xf numFmtId="0" fontId="44" fillId="35" borderId="0"/>
    <xf numFmtId="0" fontId="44" fillId="49" borderId="0"/>
    <xf numFmtId="0" fontId="44" fillId="2" borderId="0"/>
    <xf numFmtId="0" fontId="44" fillId="50" borderId="0"/>
    <xf numFmtId="0" fontId="44" fillId="51" borderId="0"/>
    <xf numFmtId="0" fontId="44" fillId="52" borderId="0"/>
    <xf numFmtId="0" fontId="44" fillId="36" borderId="0"/>
    <xf numFmtId="0" fontId="44" fillId="53" borderId="0"/>
    <xf numFmtId="0" fontId="44" fillId="54" borderId="0"/>
    <xf numFmtId="0" fontId="44" fillId="55" borderId="0"/>
    <xf numFmtId="0" fontId="44" fillId="56" borderId="0"/>
    <xf numFmtId="0" fontId="44" fillId="57" borderId="0"/>
    <xf numFmtId="0" fontId="45" fillId="58" borderId="0"/>
    <xf numFmtId="0" fontId="46" fillId="59" borderId="10"/>
    <xf numFmtId="0" fontId="47" fillId="60" borderId="13"/>
    <xf numFmtId="167" fontId="43" fillId="0" borderId="0"/>
    <xf numFmtId="165" fontId="43" fillId="0" borderId="0"/>
    <xf numFmtId="166" fontId="43" fillId="0" borderId="0"/>
    <xf numFmtId="164" fontId="43" fillId="0" borderId="0"/>
    <xf numFmtId="0" fontId="48" fillId="0" borderId="0"/>
    <xf numFmtId="0" fontId="49" fillId="61" borderId="0"/>
    <xf numFmtId="0" fontId="50" fillId="0" borderId="7"/>
    <xf numFmtId="0" fontId="51" fillId="0" borderId="33"/>
    <xf numFmtId="0" fontId="52" fillId="0" borderId="9"/>
    <xf numFmtId="0" fontId="52" fillId="0" borderId="0"/>
    <xf numFmtId="0" fontId="53" fillId="62" borderId="10"/>
    <xf numFmtId="0" fontId="54" fillId="0" borderId="12"/>
    <xf numFmtId="0" fontId="55" fillId="63" borderId="0"/>
    <xf numFmtId="0" fontId="43" fillId="64" borderId="14"/>
    <xf numFmtId="0" fontId="56" fillId="59" borderId="11"/>
    <xf numFmtId="9" fontId="43" fillId="0" borderId="0"/>
    <xf numFmtId="0" fontId="57" fillId="0" borderId="0"/>
    <xf numFmtId="0" fontId="58" fillId="0" borderId="15"/>
    <xf numFmtId="0" fontId="59" fillId="0" borderId="0"/>
    <xf numFmtId="0" fontId="18" fillId="0" borderId="0"/>
    <xf numFmtId="0" fontId="36" fillId="0" borderId="0"/>
    <xf numFmtId="44" fontId="36"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4" fontId="36" fillId="0" borderId="0" applyFont="0" applyFill="0" applyBorder="0" applyAlignment="0" applyProtection="0"/>
    <xf numFmtId="0" fontId="37"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166" fontId="36" fillId="0" borderId="0" applyFont="0" applyFill="0" applyBorder="0" applyAlignment="0" applyProtection="0"/>
    <xf numFmtId="0" fontId="37" fillId="0" borderId="0"/>
    <xf numFmtId="167" fontId="60" fillId="0" borderId="0" applyFont="0" applyFill="0" applyBorder="0" applyAlignment="0" applyProtection="0"/>
    <xf numFmtId="0" fontId="61" fillId="0" borderId="0"/>
    <xf numFmtId="0" fontId="37" fillId="0" borderId="0"/>
    <xf numFmtId="0" fontId="37"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44"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36"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36" fillId="0" borderId="0" applyFont="0" applyFill="0" applyBorder="0" applyAlignment="0" applyProtection="0"/>
    <xf numFmtId="9" fontId="36" fillId="0" borderId="0" applyFont="0" applyFill="0" applyBorder="0" applyAlignment="0" applyProtection="0"/>
    <xf numFmtId="166"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166" fontId="37" fillId="0" borderId="0" applyFont="0" applyFill="0" applyBorder="0" applyAlignment="0" applyProtection="0"/>
    <xf numFmtId="0" fontId="37" fillId="0" borderId="0"/>
    <xf numFmtId="0" fontId="36" fillId="0" borderId="0"/>
    <xf numFmtId="0" fontId="41" fillId="0" borderId="0"/>
    <xf numFmtId="0" fontId="37" fillId="0" borderId="0"/>
    <xf numFmtId="166" fontId="36" fillId="0" borderId="0" applyFont="0" applyFill="0" applyBorder="0" applyAlignment="0" applyProtection="0"/>
    <xf numFmtId="0" fontId="36" fillId="0" borderId="0"/>
    <xf numFmtId="9"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36" fillId="0" borderId="0"/>
    <xf numFmtId="44" fontId="36"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36"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42" fillId="0" borderId="0"/>
    <xf numFmtId="167" fontId="43" fillId="0" borderId="0"/>
    <xf numFmtId="166" fontId="43" fillId="0" borderId="0"/>
    <xf numFmtId="9" fontId="43" fillId="0" borderId="0"/>
    <xf numFmtId="166" fontId="36" fillId="0" borderId="0" applyFont="0" applyFill="0" applyBorder="0" applyAlignment="0" applyProtection="0"/>
    <xf numFmtId="0" fontId="18" fillId="0" borderId="0"/>
    <xf numFmtId="0" fontId="36" fillId="0" borderId="0"/>
    <xf numFmtId="166" fontId="36" fillId="0" borderId="0" applyFont="0" applyFill="0" applyBorder="0" applyAlignment="0" applyProtection="0"/>
    <xf numFmtId="9" fontId="36"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7"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04" fillId="0" borderId="0" applyNumberFormat="0" applyFill="0" applyBorder="0" applyAlignment="0" applyProtection="0"/>
  </cellStyleXfs>
  <cellXfs count="571">
    <xf numFmtId="0" fontId="0" fillId="0" borderId="0" xfId="0"/>
    <xf numFmtId="0" fontId="17" fillId="0" borderId="0" xfId="0" applyFont="1"/>
    <xf numFmtId="0" fontId="62" fillId="0" borderId="0" xfId="0" applyFont="1" applyAlignment="1">
      <alignment vertical="top" wrapText="1"/>
    </xf>
    <xf numFmtId="0" fontId="17" fillId="0" borderId="0" xfId="0" applyNumberFormat="1" applyFont="1" applyFill="1" applyBorder="1" applyAlignment="1">
      <alignment horizontal="left" vertical="top"/>
    </xf>
    <xf numFmtId="0" fontId="62" fillId="0" borderId="0" xfId="0" applyFont="1" applyAlignment="1"/>
    <xf numFmtId="0" fontId="62" fillId="0" borderId="0" xfId="0" applyFont="1" applyAlignment="1">
      <alignment vertical="top"/>
    </xf>
    <xf numFmtId="0" fontId="17" fillId="0" borderId="0" xfId="0" applyFont="1" applyAlignment="1">
      <alignment horizontal="left"/>
    </xf>
    <xf numFmtId="14" fontId="62" fillId="0" borderId="0" xfId="0" applyNumberFormat="1" applyFont="1" applyAlignment="1">
      <alignment vertical="top"/>
    </xf>
    <xf numFmtId="0" fontId="63" fillId="34" borderId="21" xfId="0" applyFont="1" applyFill="1" applyBorder="1" applyAlignment="1">
      <alignment vertical="top"/>
    </xf>
    <xf numFmtId="0" fontId="37" fillId="0" borderId="16" xfId="0" applyFont="1" applyFill="1" applyBorder="1" applyAlignment="1">
      <alignment vertical="top"/>
    </xf>
    <xf numFmtId="0" fontId="37" fillId="0" borderId="22" xfId="0" applyFont="1" applyFill="1" applyBorder="1" applyAlignment="1">
      <alignment vertical="top"/>
    </xf>
    <xf numFmtId="0" fontId="62" fillId="0" borderId="0" xfId="0" applyFont="1"/>
    <xf numFmtId="0" fontId="62" fillId="0" borderId="23" xfId="0" applyFont="1" applyBorder="1" applyAlignment="1">
      <alignment vertical="center"/>
    </xf>
    <xf numFmtId="0" fontId="62" fillId="0" borderId="0" xfId="0" applyFont="1" applyBorder="1" applyAlignment="1">
      <alignment vertical="center"/>
    </xf>
    <xf numFmtId="0" fontId="62" fillId="0" borderId="0" xfId="0" applyFont="1" applyAlignment="1">
      <alignment horizontal="left" vertical="center"/>
    </xf>
    <xf numFmtId="0" fontId="62" fillId="0" borderId="0" xfId="0" applyFont="1" applyBorder="1" applyAlignment="1"/>
    <xf numFmtId="0" fontId="62" fillId="0" borderId="0" xfId="0" applyFont="1" applyAlignment="1">
      <alignment horizontal="left" vertical="center" wrapText="1"/>
    </xf>
    <xf numFmtId="0" fontId="62" fillId="0" borderId="23" xfId="0" applyFont="1" applyBorder="1" applyAlignment="1"/>
    <xf numFmtId="0" fontId="16" fillId="0" borderId="0" xfId="0" applyFont="1" applyAlignment="1">
      <alignment horizontal="left" vertical="top"/>
    </xf>
    <xf numFmtId="0" fontId="17" fillId="0" borderId="0" xfId="0" applyFont="1" applyAlignment="1"/>
    <xf numFmtId="0" fontId="66" fillId="0" borderId="0" xfId="0" applyFont="1" applyBorder="1" applyAlignment="1"/>
    <xf numFmtId="0" fontId="16" fillId="0" borderId="0" xfId="0" applyFont="1" applyBorder="1"/>
    <xf numFmtId="0" fontId="68" fillId="0" borderId="17" xfId="0" applyFont="1" applyBorder="1" applyAlignment="1"/>
    <xf numFmtId="0" fontId="68" fillId="0" borderId="0" xfId="0" applyFont="1" applyBorder="1" applyAlignment="1"/>
    <xf numFmtId="0" fontId="66" fillId="0" borderId="17" xfId="0"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37" fillId="0" borderId="17" xfId="0" applyNumberFormat="1" applyFont="1" applyBorder="1" applyAlignment="1">
      <alignment vertical="top"/>
    </xf>
    <xf numFmtId="0" fontId="37" fillId="0" borderId="17" xfId="0" applyFont="1" applyBorder="1" applyAlignment="1">
      <alignment vertical="top"/>
    </xf>
    <xf numFmtId="0" fontId="16" fillId="0" borderId="0" xfId="0" applyFont="1" applyAlignment="1"/>
    <xf numFmtId="0" fontId="16" fillId="0" borderId="0" xfId="0" applyFont="1"/>
    <xf numFmtId="0" fontId="17" fillId="0" borderId="0" xfId="0" applyFont="1" applyAlignment="1">
      <alignment horizontal="center"/>
    </xf>
    <xf numFmtId="0" fontId="16" fillId="0" borderId="0" xfId="0" applyFont="1" applyBorder="1" applyAlignment="1">
      <alignment horizontal="center"/>
    </xf>
    <xf numFmtId="0" fontId="68" fillId="0" borderId="17" xfId="0" applyFont="1" applyBorder="1" applyAlignment="1">
      <alignment horizontal="center"/>
    </xf>
    <xf numFmtId="0" fontId="16" fillId="0" borderId="0" xfId="0" applyFont="1" applyAlignment="1">
      <alignment horizontal="center"/>
    </xf>
    <xf numFmtId="0" fontId="37" fillId="0" borderId="17" xfId="2" applyFont="1" applyBorder="1" applyAlignment="1">
      <alignment vertical="top" wrapText="1"/>
    </xf>
    <xf numFmtId="0" fontId="37" fillId="0" borderId="17" xfId="2" applyNumberFormat="1" applyFont="1" applyBorder="1" applyAlignment="1">
      <alignment vertical="top" wrapText="1"/>
    </xf>
    <xf numFmtId="0" fontId="37" fillId="0" borderId="17" xfId="2" applyFont="1" applyFill="1" applyBorder="1" applyAlignment="1">
      <alignment vertical="top" wrapText="1"/>
    </xf>
    <xf numFmtId="0" fontId="16" fillId="0" borderId="17" xfId="0" applyFont="1" applyBorder="1" applyAlignment="1">
      <alignment horizontal="center"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top"/>
    </xf>
    <xf numFmtId="0" fontId="16" fillId="0" borderId="0" xfId="0" applyFont="1" applyAlignment="1">
      <alignment horizontal="left"/>
    </xf>
    <xf numFmtId="0" fontId="16" fillId="0" borderId="0" xfId="0" applyFont="1" applyAlignment="1">
      <alignment vertical="center" wrapText="1"/>
    </xf>
    <xf numFmtId="0" fontId="16" fillId="0" borderId="0" xfId="0" applyFont="1" applyAlignment="1">
      <alignment horizontal="center" vertical="center"/>
    </xf>
    <xf numFmtId="0" fontId="73" fillId="0" borderId="0" xfId="0" applyFont="1" applyAlignment="1">
      <alignment vertical="center" wrapText="1"/>
    </xf>
    <xf numFmtId="0" fontId="73" fillId="0" borderId="0" xfId="0" applyFont="1" applyAlignment="1">
      <alignment vertical="center"/>
    </xf>
    <xf numFmtId="0" fontId="16" fillId="0" borderId="0" xfId="0" applyFont="1" applyAlignment="1">
      <alignment wrapText="1"/>
    </xf>
    <xf numFmtId="0" fontId="17" fillId="0" borderId="0" xfId="0" applyFont="1" applyAlignment="1">
      <alignment vertical="top"/>
    </xf>
    <xf numFmtId="0" fontId="16" fillId="0" borderId="0" xfId="0" applyFont="1" applyAlignment="1">
      <alignment horizontal="right" vertical="top"/>
    </xf>
    <xf numFmtId="0" fontId="71" fillId="0" borderId="0" xfId="0" applyFont="1" applyAlignment="1">
      <alignment vertical="top" wrapText="1"/>
    </xf>
    <xf numFmtId="0" fontId="37" fillId="0" borderId="0" xfId="2" applyFont="1" applyAlignment="1">
      <alignment vertical="top" wrapText="1"/>
    </xf>
    <xf numFmtId="0" fontId="17" fillId="0" borderId="0" xfId="0" applyFont="1" applyAlignment="1">
      <alignment horizontal="right" vertical="top"/>
    </xf>
    <xf numFmtId="0" fontId="17" fillId="0" borderId="0" xfId="0" applyFont="1" applyAlignment="1">
      <alignment vertical="top" wrapText="1"/>
    </xf>
    <xf numFmtId="0" fontId="77" fillId="0" borderId="0" xfId="2" applyFont="1" applyAlignment="1">
      <alignment vertical="top" wrapText="1"/>
    </xf>
    <xf numFmtId="0" fontId="76" fillId="0" borderId="0" xfId="0" applyFont="1" applyAlignment="1">
      <alignment vertical="top"/>
    </xf>
    <xf numFmtId="0" fontId="78" fillId="0" borderId="0" xfId="0" applyFont="1" applyAlignment="1">
      <alignment horizontal="left" vertical="top"/>
    </xf>
    <xf numFmtId="0" fontId="64" fillId="0" borderId="0" xfId="0" applyFont="1" applyAlignment="1">
      <alignment horizontal="left" vertical="top"/>
    </xf>
    <xf numFmtId="0" fontId="79" fillId="0" borderId="0" xfId="0" applyFont="1" applyAlignment="1">
      <alignment horizontal="left" vertical="top" wrapText="1"/>
    </xf>
    <xf numFmtId="0" fontId="16" fillId="0" borderId="0" xfId="0" applyFont="1" applyAlignment="1">
      <alignment horizontal="left" vertical="center"/>
    </xf>
    <xf numFmtId="0" fontId="16" fillId="0" borderId="4" xfId="0" applyFont="1" applyBorder="1" applyAlignment="1">
      <alignment horizontal="left" vertical="top" wrapText="1"/>
    </xf>
    <xf numFmtId="0" fontId="37" fillId="0" borderId="4" xfId="0" applyFont="1" applyFill="1" applyBorder="1" applyAlignment="1">
      <alignment horizontal="center" vertical="center"/>
    </xf>
    <xf numFmtId="0" fontId="37" fillId="0" borderId="4" xfId="0" applyFont="1" applyFill="1" applyBorder="1" applyAlignment="1">
      <alignment horizontal="left" vertical="top" wrapText="1"/>
    </xf>
    <xf numFmtId="0" fontId="16" fillId="0" borderId="4" xfId="0" applyFont="1" applyFill="1" applyBorder="1" applyAlignment="1">
      <alignment vertical="center" wrapText="1"/>
    </xf>
    <xf numFmtId="0" fontId="17" fillId="0" borderId="0" xfId="0" applyFont="1" applyAlignment="1">
      <alignment horizontal="center" vertical="top"/>
    </xf>
    <xf numFmtId="0" fontId="17" fillId="0" borderId="0" xfId="0" applyNumberFormat="1" applyFont="1" applyBorder="1" applyAlignment="1">
      <alignment horizontal="center" vertical="top"/>
    </xf>
    <xf numFmtId="0" fontId="17" fillId="0" borderId="0" xfId="0" applyNumberFormat="1" applyFont="1" applyBorder="1" applyAlignment="1">
      <alignment vertical="top"/>
    </xf>
    <xf numFmtId="0" fontId="81" fillId="0" borderId="0" xfId="0" applyNumberFormat="1" applyFont="1" applyBorder="1" applyAlignment="1">
      <alignment horizontal="right" vertical="top"/>
    </xf>
    <xf numFmtId="0" fontId="81" fillId="0" borderId="0" xfId="0" applyFont="1" applyAlignment="1">
      <alignment vertical="top"/>
    </xf>
    <xf numFmtId="0" fontId="17" fillId="0" borderId="0" xfId="0" applyFont="1" applyBorder="1" applyAlignment="1">
      <alignment vertical="top" wrapText="1"/>
    </xf>
    <xf numFmtId="49" fontId="37" fillId="0" borderId="0" xfId="0" applyNumberFormat="1" applyFont="1" applyBorder="1" applyAlignment="1">
      <alignment horizontal="left" vertical="top" wrapText="1"/>
    </xf>
    <xf numFmtId="0" fontId="37" fillId="0" borderId="0" xfId="0" applyNumberFormat="1" applyFont="1" applyBorder="1" applyAlignment="1">
      <alignment horizontal="left" vertical="top"/>
    </xf>
    <xf numFmtId="0" fontId="16" fillId="0" borderId="0" xfId="0" applyFont="1" applyBorder="1" applyAlignment="1">
      <alignment vertical="top" wrapText="1"/>
    </xf>
    <xf numFmtId="0" fontId="68" fillId="0" borderId="0" xfId="0" applyNumberFormat="1" applyFont="1" applyBorder="1" applyAlignment="1">
      <alignment horizontal="left" vertical="top" wrapText="1"/>
    </xf>
    <xf numFmtId="0" fontId="16" fillId="0" borderId="0" xfId="0" applyNumberFormat="1" applyFont="1" applyBorder="1" applyAlignment="1">
      <alignment horizontal="center" vertical="top" wrapText="1"/>
    </xf>
    <xf numFmtId="0" fontId="16" fillId="0" borderId="0" xfId="0" applyNumberFormat="1" applyFont="1" applyBorder="1" applyAlignment="1">
      <alignment vertical="top" wrapText="1"/>
    </xf>
    <xf numFmtId="0" fontId="16" fillId="0" borderId="0" xfId="0" applyNumberFormat="1" applyFont="1" applyBorder="1" applyAlignment="1">
      <alignment horizontal="center" vertical="top"/>
    </xf>
    <xf numFmtId="49" fontId="37" fillId="0" borderId="18" xfId="0" applyNumberFormat="1" applyFont="1" applyBorder="1" applyAlignment="1">
      <alignment horizontal="left" vertical="top" wrapText="1"/>
    </xf>
    <xf numFmtId="0" fontId="37" fillId="0" borderId="18" xfId="0" applyFont="1" applyBorder="1" applyAlignment="1">
      <alignment horizontal="left" vertical="top" wrapText="1"/>
    </xf>
    <xf numFmtId="0" fontId="37" fillId="0" borderId="17" xfId="0" applyNumberFormat="1" applyFont="1" applyBorder="1" applyAlignment="1">
      <alignment horizontal="left" vertical="top" wrapText="1"/>
    </xf>
    <xf numFmtId="0" fontId="37" fillId="0" borderId="0" xfId="0" applyNumberFormat="1" applyFont="1" applyBorder="1" applyAlignment="1">
      <alignment horizontal="center" vertical="top" wrapText="1"/>
    </xf>
    <xf numFmtId="0" fontId="37" fillId="0" borderId="25" xfId="0" applyFont="1" applyBorder="1" applyAlignment="1">
      <alignment horizontal="left" vertical="top" wrapText="1"/>
    </xf>
    <xf numFmtId="0" fontId="37" fillId="0" borderId="18" xfId="0" applyNumberFormat="1" applyFont="1" applyBorder="1" applyAlignment="1">
      <alignment horizontal="left" vertical="top" wrapText="1"/>
    </xf>
    <xf numFmtId="0" fontId="37" fillId="0" borderId="25" xfId="0" applyNumberFormat="1" applyFont="1" applyBorder="1" applyAlignment="1">
      <alignment horizontal="left" vertical="top" wrapText="1"/>
    </xf>
    <xf numFmtId="0" fontId="37" fillId="0" borderId="24" xfId="0" applyFont="1" applyBorder="1" applyAlignment="1">
      <alignment horizontal="left" vertical="top" wrapText="1"/>
    </xf>
    <xf numFmtId="0" fontId="37" fillId="0" borderId="24" xfId="0" applyNumberFormat="1" applyFont="1" applyBorder="1" applyAlignment="1">
      <alignment horizontal="left" vertical="top" wrapText="1"/>
    </xf>
    <xf numFmtId="0" fontId="75" fillId="0" borderId="37" xfId="0" applyFont="1" applyBorder="1" applyAlignment="1">
      <alignment horizontal="left" vertical="top" wrapText="1"/>
    </xf>
    <xf numFmtId="0" fontId="75" fillId="0" borderId="19" xfId="0" applyNumberFormat="1" applyFont="1" applyBorder="1" applyAlignment="1">
      <alignment horizontal="left" vertical="top" wrapText="1"/>
    </xf>
    <xf numFmtId="0" fontId="37" fillId="0" borderId="17" xfId="0" applyFont="1" applyFill="1" applyBorder="1" applyAlignment="1">
      <alignment horizontal="left" vertical="top" wrapText="1"/>
    </xf>
    <xf numFmtId="0" fontId="16" fillId="0" borderId="17" xfId="0" applyFont="1" applyBorder="1" applyAlignment="1">
      <alignment vertical="top"/>
    </xf>
    <xf numFmtId="0" fontId="17" fillId="0" borderId="0" xfId="0" applyNumberFormat="1" applyFont="1" applyBorder="1" applyAlignment="1">
      <alignment horizontal="center"/>
    </xf>
    <xf numFmtId="0" fontId="17" fillId="0" borderId="0" xfId="0" applyNumberFormat="1" applyFont="1" applyBorder="1" applyAlignment="1"/>
    <xf numFmtId="0" fontId="16" fillId="0" borderId="0" xfId="0" applyNumberFormat="1" applyFont="1" applyBorder="1" applyAlignment="1">
      <alignment horizontal="center" vertical="center"/>
    </xf>
    <xf numFmtId="0" fontId="80" fillId="0" borderId="0" xfId="0" applyNumberFormat="1" applyFont="1" applyBorder="1" applyAlignment="1">
      <alignment horizontal="right" vertical="top"/>
    </xf>
    <xf numFmtId="0" fontId="81" fillId="0" borderId="0" xfId="0" applyFont="1" applyAlignment="1"/>
    <xf numFmtId="0" fontId="16" fillId="0" borderId="0" xfId="0" applyNumberFormat="1" applyFont="1" applyBorder="1" applyAlignment="1">
      <alignment horizontal="center"/>
    </xf>
    <xf numFmtId="0" fontId="16" fillId="0" borderId="0" xfId="0" applyNumberFormat="1" applyFont="1" applyBorder="1" applyAlignment="1"/>
    <xf numFmtId="0" fontId="16" fillId="0" borderId="0" xfId="0" applyFont="1" applyBorder="1" applyAlignment="1">
      <alignment vertical="center" wrapText="1"/>
    </xf>
    <xf numFmtId="0" fontId="37" fillId="0" borderId="0" xfId="0" applyNumberFormat="1" applyFont="1" applyBorder="1" applyAlignment="1">
      <alignment horizontal="left" vertical="center"/>
    </xf>
    <xf numFmtId="0" fontId="16" fillId="0" borderId="0" xfId="0" applyNumberFormat="1" applyFont="1" applyBorder="1" applyAlignment="1">
      <alignment horizontal="center" vertical="center" wrapText="1"/>
    </xf>
    <xf numFmtId="0" fontId="16" fillId="0" borderId="0" xfId="0" applyNumberFormat="1" applyFont="1" applyBorder="1" applyAlignment="1">
      <alignment vertical="center" wrapText="1"/>
    </xf>
    <xf numFmtId="0" fontId="37" fillId="0" borderId="17" xfId="0" applyFont="1" applyBorder="1" applyAlignment="1">
      <alignment horizontal="left" vertical="top" wrapText="1"/>
    </xf>
    <xf numFmtId="0" fontId="37" fillId="0" borderId="0" xfId="0" applyNumberFormat="1" applyFont="1" applyBorder="1" applyAlignment="1">
      <alignment horizontal="center" vertical="center" wrapText="1"/>
    </xf>
    <xf numFmtId="49" fontId="37" fillId="0" borderId="24" xfId="0" applyNumberFormat="1" applyFont="1" applyBorder="1" applyAlignment="1">
      <alignment horizontal="left" vertical="top" wrapText="1"/>
    </xf>
    <xf numFmtId="49" fontId="82" fillId="0" borderId="0" xfId="0" applyNumberFormat="1" applyFont="1" applyBorder="1" applyAlignment="1">
      <alignment horizontal="right" vertical="top" wrapText="1"/>
    </xf>
    <xf numFmtId="0" fontId="37" fillId="0" borderId="0" xfId="0" applyFont="1" applyBorder="1" applyAlignment="1">
      <alignment vertical="center" wrapText="1"/>
    </xf>
    <xf numFmtId="0" fontId="17" fillId="0" borderId="0" xfId="0" applyFont="1" applyAlignment="1">
      <alignment wrapText="1"/>
    </xf>
    <xf numFmtId="0" fontId="83" fillId="0" borderId="0" xfId="0" applyFont="1" applyAlignment="1">
      <alignment horizontal="left" vertical="top"/>
    </xf>
    <xf numFmtId="0" fontId="83" fillId="0" borderId="0" xfId="0" applyFont="1" applyBorder="1" applyAlignment="1">
      <alignment horizontal="left" vertical="top" wrapText="1"/>
    </xf>
    <xf numFmtId="0" fontId="72" fillId="0" borderId="0" xfId="0" applyNumberFormat="1" applyFont="1" applyBorder="1" applyAlignment="1">
      <alignment horizontal="left" vertical="top" wrapText="1"/>
    </xf>
    <xf numFmtId="0" fontId="64" fillId="0" borderId="0" xfId="0" applyNumberFormat="1" applyFont="1" applyBorder="1" applyAlignment="1">
      <alignment horizontal="left" vertical="top" wrapText="1"/>
    </xf>
    <xf numFmtId="0" fontId="37" fillId="0" borderId="0" xfId="0" applyNumberFormat="1" applyFont="1" applyBorder="1" applyAlignment="1">
      <alignment horizontal="left" vertical="top" wrapText="1"/>
    </xf>
    <xf numFmtId="0" fontId="81" fillId="0" borderId="0" xfId="0" applyFont="1" applyAlignment="1">
      <alignment horizontal="left" vertical="top"/>
    </xf>
    <xf numFmtId="0" fontId="85" fillId="0" borderId="0" xfId="0" applyNumberFormat="1" applyFont="1" applyBorder="1" applyAlignment="1">
      <alignment horizontal="left" vertical="center"/>
    </xf>
    <xf numFmtId="0" fontId="85" fillId="0" borderId="0" xfId="0" applyNumberFormat="1" applyFont="1" applyBorder="1" applyAlignment="1">
      <alignment horizontal="center" vertical="center" wrapText="1"/>
    </xf>
    <xf numFmtId="0" fontId="84" fillId="0" borderId="0" xfId="0" applyFont="1" applyFill="1" applyBorder="1" applyAlignment="1">
      <alignment horizontal="left" vertical="top" wrapText="1"/>
    </xf>
    <xf numFmtId="0" fontId="85" fillId="0" borderId="0" xfId="0" applyFont="1" applyBorder="1" applyAlignment="1">
      <alignment vertical="center" wrapText="1"/>
    </xf>
    <xf numFmtId="49" fontId="82" fillId="0" borderId="0" xfId="0" applyNumberFormat="1" applyFont="1" applyBorder="1" applyAlignment="1">
      <alignment horizontal="left" vertical="top" wrapText="1"/>
    </xf>
    <xf numFmtId="0" fontId="85" fillId="0" borderId="0" xfId="0" applyNumberFormat="1" applyFont="1" applyBorder="1" applyAlignment="1">
      <alignment horizontal="left" vertical="top" wrapText="1"/>
    </xf>
    <xf numFmtId="0" fontId="82" fillId="0" borderId="0" xfId="0" applyFont="1" applyBorder="1" applyAlignment="1">
      <alignment horizontal="right" vertical="top" wrapText="1"/>
    </xf>
    <xf numFmtId="0" fontId="85" fillId="0" borderId="0" xfId="0" applyFont="1" applyBorder="1" applyAlignment="1">
      <alignment wrapText="1"/>
    </xf>
    <xf numFmtId="0" fontId="16" fillId="0" borderId="0" xfId="0" applyNumberFormat="1" applyFont="1" applyBorder="1" applyAlignment="1">
      <alignment vertical="top"/>
    </xf>
    <xf numFmtId="0" fontId="16" fillId="0" borderId="0" xfId="0" applyNumberFormat="1" applyFont="1" applyBorder="1" applyAlignment="1">
      <alignment horizontal="left"/>
    </xf>
    <xf numFmtId="0" fontId="16" fillId="0" borderId="0" xfId="0" applyNumberFormat="1" applyFont="1" applyBorder="1" applyAlignment="1">
      <alignment vertical="center"/>
    </xf>
    <xf numFmtId="0" fontId="16" fillId="0" borderId="17" xfId="0" applyFont="1" applyBorder="1" applyAlignment="1">
      <alignment horizontal="left" vertical="top" wrapText="1"/>
    </xf>
    <xf numFmtId="0" fontId="81" fillId="0" borderId="0" xfId="0" applyNumberFormat="1" applyFont="1" applyBorder="1" applyAlignment="1">
      <alignment vertical="top"/>
    </xf>
    <xf numFmtId="0" fontId="81" fillId="0" borderId="0" xfId="0" applyNumberFormat="1" applyFont="1" applyBorder="1" applyAlignment="1">
      <alignment horizontal="left"/>
    </xf>
    <xf numFmtId="0" fontId="17" fillId="0" borderId="0" xfId="0" applyNumberFormat="1" applyFont="1" applyBorder="1" applyAlignment="1">
      <alignment vertical="center"/>
    </xf>
    <xf numFmtId="0" fontId="16" fillId="0" borderId="0" xfId="0" applyNumberFormat="1" applyFont="1" applyBorder="1" applyAlignment="1">
      <alignment horizontal="center" wrapText="1"/>
    </xf>
    <xf numFmtId="0" fontId="16" fillId="0" borderId="0" xfId="0" applyNumberFormat="1" applyFont="1" applyBorder="1" applyAlignment="1">
      <alignment wrapText="1"/>
    </xf>
    <xf numFmtId="0" fontId="16" fillId="0" borderId="0" xfId="0" applyFont="1" applyAlignment="1">
      <alignment horizontal="center" wrapText="1"/>
    </xf>
    <xf numFmtId="0" fontId="64" fillId="0" borderId="0" xfId="0" applyFont="1" applyAlignment="1">
      <alignment vertical="top"/>
    </xf>
    <xf numFmtId="0"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xf>
    <xf numFmtId="0" fontId="80" fillId="0" borderId="0" xfId="0" applyNumberFormat="1" applyFont="1" applyBorder="1" applyAlignment="1">
      <alignment horizontal="left" vertical="top"/>
    </xf>
    <xf numFmtId="0" fontId="80" fillId="0" borderId="0" xfId="0" applyNumberFormat="1" applyFont="1" applyBorder="1" applyAlignment="1">
      <alignment horizontal="left" vertical="top" wrapText="1"/>
    </xf>
    <xf numFmtId="0" fontId="71" fillId="0" borderId="0" xfId="0" applyNumberFormat="1" applyFont="1" applyBorder="1" applyAlignment="1">
      <alignment horizontal="left" vertical="top"/>
    </xf>
    <xf numFmtId="0" fontId="16" fillId="0" borderId="0" xfId="0" applyNumberFormat="1" applyFont="1" applyBorder="1" applyAlignment="1">
      <alignment horizontal="left" vertical="top"/>
    </xf>
    <xf numFmtId="0" fontId="16" fillId="0" borderId="0" xfId="0" applyNumberFormat="1" applyFont="1" applyBorder="1" applyAlignment="1">
      <alignment horizontal="left" vertical="top" wrapText="1"/>
    </xf>
    <xf numFmtId="0" fontId="37" fillId="0" borderId="17" xfId="2" applyNumberFormat="1" applyFont="1" applyFill="1" applyBorder="1" applyAlignment="1">
      <alignment horizontal="left" vertical="top" wrapText="1"/>
    </xf>
    <xf numFmtId="0" fontId="65" fillId="0" borderId="0" xfId="2" applyNumberFormat="1" applyFont="1" applyFill="1" applyBorder="1" applyAlignment="1">
      <alignment horizontal="left" vertical="top" wrapText="1"/>
    </xf>
    <xf numFmtId="0" fontId="16" fillId="0" borderId="0" xfId="0" applyNumberFormat="1" applyFont="1" applyFill="1" applyBorder="1" applyAlignment="1">
      <alignment horizontal="left" vertical="top" wrapText="1"/>
    </xf>
    <xf numFmtId="0" fontId="16" fillId="0" borderId="0" xfId="2" applyNumberFormat="1" applyFont="1" applyFill="1" applyBorder="1" applyAlignment="1">
      <alignment horizontal="left" vertical="top" wrapText="1"/>
    </xf>
    <xf numFmtId="0" fontId="16" fillId="0" borderId="18" xfId="0" applyFont="1" applyBorder="1" applyAlignment="1">
      <alignment horizontal="left" vertical="top" wrapText="1"/>
    </xf>
    <xf numFmtId="49" fontId="37" fillId="0" borderId="17" xfId="2" applyNumberFormat="1" applyFont="1" applyFill="1" applyBorder="1" applyAlignment="1">
      <alignment horizontal="left" vertical="top" wrapText="1"/>
    </xf>
    <xf numFmtId="0" fontId="16" fillId="0" borderId="0" xfId="0" applyNumberFormat="1" applyFont="1" applyFill="1" applyBorder="1" applyAlignment="1">
      <alignment horizontal="left" vertical="top"/>
    </xf>
    <xf numFmtId="0" fontId="64" fillId="0" borderId="25" xfId="0" applyNumberFormat="1" applyFont="1" applyFill="1" applyBorder="1" applyAlignment="1">
      <alignment horizontal="left" vertical="top" wrapText="1"/>
    </xf>
    <xf numFmtId="0" fontId="16" fillId="0" borderId="25" xfId="0" applyFont="1" applyBorder="1" applyAlignment="1">
      <alignment horizontal="left" vertical="top" wrapText="1"/>
    </xf>
    <xf numFmtId="0" fontId="64" fillId="0" borderId="24" xfId="0" applyNumberFormat="1" applyFont="1" applyFill="1" applyBorder="1" applyAlignment="1">
      <alignment horizontal="left" vertical="top" wrapText="1"/>
    </xf>
    <xf numFmtId="0" fontId="16" fillId="0" borderId="24" xfId="0" applyFont="1" applyBorder="1" applyAlignment="1">
      <alignment horizontal="left" vertical="top" wrapText="1"/>
    </xf>
    <xf numFmtId="14" fontId="37" fillId="0" borderId="17" xfId="2" applyNumberFormat="1" applyFont="1" applyFill="1" applyBorder="1" applyAlignment="1">
      <alignment horizontal="left" vertical="top" wrapText="1"/>
    </xf>
    <xf numFmtId="0" fontId="66" fillId="0" borderId="34" xfId="0" applyNumberFormat="1" applyFont="1" applyFill="1" applyBorder="1" applyAlignment="1">
      <alignment horizontal="left" vertical="top" wrapText="1"/>
    </xf>
    <xf numFmtId="0" fontId="16" fillId="0" borderId="34" xfId="0" applyFont="1" applyBorder="1" applyAlignment="1">
      <alignment horizontal="left" vertical="top" wrapText="1"/>
    </xf>
    <xf numFmtId="0" fontId="37" fillId="0" borderId="34" xfId="2" applyNumberFormat="1" applyFont="1" applyFill="1" applyBorder="1" applyAlignment="1">
      <alignment horizontal="left" vertical="top" wrapText="1"/>
    </xf>
    <xf numFmtId="0" fontId="82" fillId="0" borderId="0" xfId="0" applyNumberFormat="1" applyFont="1" applyFill="1" applyBorder="1" applyAlignment="1">
      <alignment horizontal="left" vertical="top" wrapText="1"/>
    </xf>
    <xf numFmtId="0" fontId="71" fillId="0" borderId="0" xfId="0" applyNumberFormat="1" applyFont="1" applyFill="1" applyBorder="1" applyAlignment="1">
      <alignment horizontal="left" vertical="top" wrapText="1"/>
    </xf>
    <xf numFmtId="0" fontId="82" fillId="0" borderId="0" xfId="0" applyNumberFormat="1" applyFont="1" applyBorder="1" applyAlignment="1">
      <alignment horizontal="left" vertical="top" wrapText="1"/>
    </xf>
    <xf numFmtId="0" fontId="86" fillId="0" borderId="0" xfId="0" applyNumberFormat="1" applyFont="1" applyBorder="1" applyAlignment="1">
      <alignment horizontal="left" vertical="top"/>
    </xf>
    <xf numFmtId="0" fontId="87" fillId="0" borderId="0" xfId="0" applyNumberFormat="1" applyFont="1" applyBorder="1" applyAlignment="1">
      <alignment horizontal="left" vertical="top"/>
    </xf>
    <xf numFmtId="0" fontId="88" fillId="0" borderId="0" xfId="0" applyNumberFormat="1" applyFont="1" applyBorder="1" applyAlignment="1">
      <alignment horizontal="left" vertical="top"/>
    </xf>
    <xf numFmtId="0" fontId="79" fillId="0" borderId="0" xfId="0" applyNumberFormat="1" applyFont="1" applyBorder="1" applyAlignment="1">
      <alignment horizontal="left" vertical="top"/>
    </xf>
    <xf numFmtId="0" fontId="72" fillId="0" borderId="0" xfId="0" applyNumberFormat="1" applyFont="1" applyBorder="1" applyAlignment="1">
      <alignment horizontal="left" vertical="top"/>
    </xf>
    <xf numFmtId="0" fontId="71" fillId="0" borderId="0" xfId="0" applyNumberFormat="1" applyFont="1" applyBorder="1" applyAlignment="1">
      <alignment horizontal="left" vertical="top" wrapText="1"/>
    </xf>
    <xf numFmtId="0" fontId="64" fillId="0" borderId="0" xfId="0" applyNumberFormat="1" applyFont="1" applyBorder="1" applyAlignment="1">
      <alignment horizontal="left" vertical="top"/>
    </xf>
    <xf numFmtId="0" fontId="16" fillId="0" borderId="0" xfId="0" applyFont="1" applyBorder="1" applyAlignment="1">
      <alignment horizontal="left" vertical="top" wrapText="1"/>
    </xf>
    <xf numFmtId="0" fontId="37" fillId="0" borderId="17" xfId="0" applyNumberFormat="1" applyFont="1" applyFill="1" applyBorder="1" applyAlignment="1">
      <alignment horizontal="left" vertical="top" wrapText="1"/>
    </xf>
    <xf numFmtId="49" fontId="37" fillId="0" borderId="17" xfId="0" applyNumberFormat="1" applyFont="1" applyFill="1" applyBorder="1" applyAlignment="1">
      <alignment horizontal="left" vertical="top" wrapText="1"/>
    </xf>
    <xf numFmtId="10" fontId="37" fillId="0" borderId="17" xfId="208" applyNumberFormat="1" applyFont="1" applyFill="1" applyBorder="1" applyAlignment="1">
      <alignment horizontal="left" vertical="top" wrapText="1"/>
    </xf>
    <xf numFmtId="0" fontId="72" fillId="0" borderId="0" xfId="0" applyNumberFormat="1" applyFont="1" applyFill="1" applyBorder="1" applyAlignment="1">
      <alignment horizontal="left" vertical="top" wrapText="1"/>
    </xf>
    <xf numFmtId="0" fontId="78" fillId="0" borderId="0" xfId="0" applyNumberFormat="1" applyFont="1" applyBorder="1" applyAlignment="1">
      <alignment horizontal="left" vertical="top"/>
    </xf>
    <xf numFmtId="0" fontId="37" fillId="0" borderId="17" xfId="2" quotePrefix="1" applyNumberFormat="1" applyFont="1" applyFill="1" applyBorder="1" applyAlignment="1">
      <alignment horizontal="left" vertical="top" wrapText="1"/>
    </xf>
    <xf numFmtId="0" fontId="71" fillId="0" borderId="0" xfId="0" applyNumberFormat="1" applyFont="1" applyFill="1" applyBorder="1" applyAlignment="1">
      <alignment horizontal="left" vertical="top"/>
    </xf>
    <xf numFmtId="0" fontId="37" fillId="0" borderId="17" xfId="2" applyFont="1" applyBorder="1" applyAlignment="1">
      <alignment horizontal="left" vertical="top" wrapText="1"/>
    </xf>
    <xf numFmtId="0" fontId="17" fillId="0" borderId="0" xfId="0" applyFont="1" applyAlignment="1">
      <alignment horizontal="left" vertical="top"/>
    </xf>
    <xf numFmtId="0" fontId="75" fillId="0" borderId="0" xfId="0" applyFont="1" applyAlignment="1">
      <alignment horizontal="left" vertical="top" wrapText="1"/>
    </xf>
    <xf numFmtId="0" fontId="64" fillId="0" borderId="0" xfId="0" applyFont="1" applyAlignment="1">
      <alignment horizontal="left" vertical="top" wrapText="1"/>
    </xf>
    <xf numFmtId="0" fontId="67" fillId="0" borderId="0" xfId="0" applyNumberFormat="1" applyFont="1" applyBorder="1" applyAlignment="1">
      <alignment horizontal="left" vertical="top"/>
    </xf>
    <xf numFmtId="0" fontId="73" fillId="0" borderId="0" xfId="0" applyFont="1" applyAlignment="1">
      <alignment vertical="top"/>
    </xf>
    <xf numFmtId="0" fontId="73" fillId="0" borderId="0" xfId="0" applyNumberFormat="1" applyFont="1" applyBorder="1" applyAlignment="1">
      <alignment horizontal="center" vertical="top"/>
    </xf>
    <xf numFmtId="0" fontId="73" fillId="0" borderId="0" xfId="0" applyNumberFormat="1" applyFont="1" applyBorder="1" applyAlignment="1">
      <alignment horizontal="left" vertical="top"/>
    </xf>
    <xf numFmtId="0" fontId="89" fillId="0" borderId="0" xfId="0" applyNumberFormat="1" applyFont="1" applyBorder="1" applyAlignment="1">
      <alignment horizontal="left" vertical="top"/>
    </xf>
    <xf numFmtId="0" fontId="69" fillId="0" borderId="0" xfId="0" applyFont="1" applyAlignment="1">
      <alignment vertical="top" wrapText="1"/>
    </xf>
    <xf numFmtId="0" fontId="37" fillId="0" borderId="0" xfId="0" applyFont="1" applyAlignment="1">
      <alignment horizontal="left" vertical="top" wrapText="1"/>
    </xf>
    <xf numFmtId="0" fontId="68" fillId="0" borderId="17" xfId="0" applyNumberFormat="1" applyFont="1" applyFill="1" applyBorder="1" applyAlignment="1">
      <alignment horizontal="left" vertical="top" wrapText="1"/>
    </xf>
    <xf numFmtId="0" fontId="37" fillId="0" borderId="18" xfId="0" applyNumberFormat="1" applyFont="1" applyFill="1" applyBorder="1" applyAlignment="1">
      <alignment horizontal="left" vertical="top" wrapText="1"/>
    </xf>
    <xf numFmtId="0" fontId="37" fillId="0" borderId="24" xfId="0" applyNumberFormat="1" applyFont="1" applyFill="1" applyBorder="1" applyAlignment="1">
      <alignment horizontal="left" vertical="top" wrapText="1"/>
    </xf>
    <xf numFmtId="0" fontId="37" fillId="0" borderId="25" xfId="0" applyNumberFormat="1" applyFont="1" applyFill="1" applyBorder="1" applyAlignment="1">
      <alignment horizontal="left" vertical="top" wrapText="1"/>
    </xf>
    <xf numFmtId="0" fontId="37" fillId="0" borderId="34" xfId="0" applyNumberFormat="1" applyFont="1" applyFill="1" applyBorder="1" applyAlignment="1">
      <alignment horizontal="left" vertical="top" wrapText="1"/>
    </xf>
    <xf numFmtId="0" fontId="37" fillId="0" borderId="0" xfId="0" applyNumberFormat="1" applyFont="1" applyFill="1" applyBorder="1" applyAlignment="1">
      <alignment horizontal="left" vertical="top" wrapText="1"/>
    </xf>
    <xf numFmtId="0" fontId="75" fillId="0" borderId="0" xfId="0" applyNumberFormat="1" applyFont="1" applyFill="1" applyBorder="1" applyAlignment="1">
      <alignment horizontal="left" vertical="top" wrapText="1"/>
    </xf>
    <xf numFmtId="0" fontId="69" fillId="0" borderId="0" xfId="0" applyNumberFormat="1" applyFont="1" applyBorder="1" applyAlignment="1">
      <alignment horizontal="left" vertical="top"/>
    </xf>
    <xf numFmtId="0" fontId="37" fillId="0" borderId="0" xfId="0" applyFont="1" applyAlignment="1">
      <alignment vertical="top"/>
    </xf>
    <xf numFmtId="0" fontId="68" fillId="0" borderId="17" xfId="0" applyNumberFormat="1" applyFont="1" applyBorder="1" applyAlignment="1">
      <alignment horizontal="left" vertical="top" wrapText="1"/>
    </xf>
    <xf numFmtId="49" fontId="37" fillId="0" borderId="17" xfId="0" applyNumberFormat="1" applyFont="1" applyBorder="1" applyAlignment="1">
      <alignment horizontal="left" vertical="top" wrapText="1"/>
    </xf>
    <xf numFmtId="49" fontId="37" fillId="0" borderId="25" xfId="0" applyNumberFormat="1" applyFont="1" applyBorder="1" applyAlignment="1">
      <alignment horizontal="left" vertical="top" wrapText="1"/>
    </xf>
    <xf numFmtId="49" fontId="75" fillId="0" borderId="25" xfId="0" applyNumberFormat="1" applyFont="1" applyBorder="1" applyAlignment="1">
      <alignment horizontal="left" vertical="top" wrapText="1"/>
    </xf>
    <xf numFmtId="49" fontId="75" fillId="0" borderId="17" xfId="0" applyNumberFormat="1" applyFont="1" applyBorder="1" applyAlignment="1">
      <alignment horizontal="left" vertical="top" wrapText="1"/>
    </xf>
    <xf numFmtId="0" fontId="37" fillId="0" borderId="17" xfId="0" applyFont="1" applyBorder="1" applyAlignment="1">
      <alignment horizontal="left" vertical="top"/>
    </xf>
    <xf numFmtId="0" fontId="37" fillId="0" borderId="0" xfId="0" applyFont="1" applyAlignment="1">
      <alignment horizontal="left" vertical="top"/>
    </xf>
    <xf numFmtId="0" fontId="37" fillId="0" borderId="5" xfId="0" applyFont="1" applyBorder="1" applyAlignment="1">
      <alignment horizontal="left" vertical="top"/>
    </xf>
    <xf numFmtId="0" fontId="37" fillId="0" borderId="5" xfId="0" applyFont="1" applyFill="1" applyBorder="1" applyAlignment="1">
      <alignment horizontal="left" vertical="top"/>
    </xf>
    <xf numFmtId="0" fontId="16" fillId="0" borderId="0" xfId="0" applyNumberFormat="1" applyFont="1" applyBorder="1" applyAlignment="1">
      <alignment horizontal="left" vertical="top" wrapText="1"/>
    </xf>
    <xf numFmtId="169" fontId="37" fillId="0" borderId="25" xfId="1" applyNumberFormat="1" applyFont="1" applyBorder="1" applyAlignment="1">
      <alignment horizontal="left" vertical="top" wrapText="1"/>
    </xf>
    <xf numFmtId="0" fontId="75" fillId="0" borderId="38" xfId="0" applyFont="1" applyBorder="1" applyAlignment="1">
      <alignment horizontal="left" vertical="center" wrapText="1"/>
    </xf>
    <xf numFmtId="0" fontId="75" fillId="0" borderId="0" xfId="0" applyFont="1" applyBorder="1" applyAlignment="1">
      <alignment horizontal="center" vertical="center" wrapText="1"/>
    </xf>
    <xf numFmtId="0" fontId="75" fillId="0" borderId="0" xfId="0" applyFont="1" applyAlignment="1">
      <alignment horizontal="center" vertical="center" wrapText="1"/>
    </xf>
    <xf numFmtId="0" fontId="37" fillId="0" borderId="26" xfId="0" applyFont="1" applyBorder="1" applyAlignment="1">
      <alignment horizontal="left" vertical="top" wrapText="1"/>
    </xf>
    <xf numFmtId="0" fontId="63" fillId="0" borderId="2" xfId="0" applyNumberFormat="1" applyFont="1" applyFill="1" applyBorder="1" applyAlignment="1">
      <alignment horizontal="left" vertical="top" wrapText="1"/>
    </xf>
    <xf numFmtId="0" fontId="15" fillId="0" borderId="26" xfId="0" applyFont="1" applyBorder="1" applyAlignment="1">
      <alignment horizontal="left" vertical="top"/>
    </xf>
    <xf numFmtId="0" fontId="63" fillId="0" borderId="26" xfId="0" applyNumberFormat="1" applyFont="1" applyFill="1" applyBorder="1" applyAlignment="1">
      <alignment horizontal="left" vertical="top" wrapText="1"/>
    </xf>
    <xf numFmtId="0" fontId="37" fillId="0" borderId="26" xfId="0" applyNumberFormat="1" applyFont="1" applyFill="1" applyBorder="1" applyAlignment="1">
      <alignment horizontal="left" vertical="top" wrapText="1"/>
    </xf>
    <xf numFmtId="0" fontId="90" fillId="0" borderId="26" xfId="0" applyNumberFormat="1" applyFont="1" applyBorder="1" applyAlignment="1">
      <alignment horizontal="center" vertical="top"/>
    </xf>
    <xf numFmtId="0" fontId="16" fillId="0" borderId="0" xfId="0" applyNumberFormat="1" applyFont="1" applyFill="1" applyBorder="1" applyAlignment="1">
      <alignment horizontal="center" vertical="top"/>
    </xf>
    <xf numFmtId="0" fontId="37" fillId="0" borderId="26" xfId="2" applyNumberFormat="1" applyFont="1" applyFill="1" applyBorder="1" applyAlignment="1">
      <alignment horizontal="center" vertical="top" wrapText="1"/>
    </xf>
    <xf numFmtId="0" fontId="15" fillId="0" borderId="0" xfId="0" applyFont="1"/>
    <xf numFmtId="0" fontId="15" fillId="0" borderId="0" xfId="0" applyFont="1" applyAlignment="1">
      <alignment wrapText="1"/>
    </xf>
    <xf numFmtId="0" fontId="15" fillId="0" borderId="0" xfId="0" applyFont="1" applyAlignment="1">
      <alignment horizontal="left"/>
    </xf>
    <xf numFmtId="0" fontId="15" fillId="0" borderId="0" xfId="0" applyFont="1" applyAlignment="1">
      <alignment horizontal="left" vertical="top"/>
    </xf>
    <xf numFmtId="0" fontId="75" fillId="0" borderId="18" xfId="0" applyNumberFormat="1" applyFont="1" applyBorder="1" applyAlignment="1">
      <alignment horizontal="left" vertical="top" wrapText="1"/>
    </xf>
    <xf numFmtId="0" fontId="75" fillId="0" borderId="25" xfId="0" applyNumberFormat="1" applyFont="1" applyBorder="1" applyAlignment="1">
      <alignment horizontal="left" vertical="top" wrapText="1"/>
    </xf>
    <xf numFmtId="0" fontId="91" fillId="0" borderId="0" xfId="0" applyFont="1" applyAlignment="1">
      <alignment horizontal="left"/>
    </xf>
    <xf numFmtId="0" fontId="91" fillId="0" borderId="0" xfId="0" applyFont="1"/>
    <xf numFmtId="0" fontId="15" fillId="0" borderId="0" xfId="0" applyNumberFormat="1" applyFont="1" applyBorder="1" applyAlignment="1">
      <alignment horizontal="center" vertical="center"/>
    </xf>
    <xf numFmtId="0" fontId="15" fillId="0" borderId="0" xfId="0" applyFont="1" applyAlignment="1"/>
    <xf numFmtId="0" fontId="15" fillId="0" borderId="23" xfId="0" applyFont="1" applyBorder="1" applyAlignment="1">
      <alignment vertical="center"/>
    </xf>
    <xf numFmtId="0" fontId="15" fillId="0" borderId="0" xfId="0" applyFont="1" applyAlignment="1">
      <alignment horizontal="left" vertical="center" wrapText="1"/>
    </xf>
    <xf numFmtId="0" fontId="15" fillId="0" borderId="23" xfId="0" applyFont="1" applyBorder="1" applyAlignment="1"/>
    <xf numFmtId="166" fontId="91" fillId="0" borderId="0" xfId="1" applyFont="1" applyAlignment="1">
      <alignment horizontal="left"/>
    </xf>
    <xf numFmtId="0" fontId="92" fillId="0" borderId="0" xfId="0" applyFont="1" applyAlignment="1"/>
    <xf numFmtId="0" fontId="92" fillId="0" borderId="0" xfId="0" applyFont="1" applyAlignment="1">
      <alignment horizontal="left" vertical="top" wrapText="1"/>
    </xf>
    <xf numFmtId="0" fontId="75" fillId="0" borderId="35" xfId="0" applyNumberFormat="1" applyFont="1" applyBorder="1" applyAlignment="1">
      <alignment horizontal="left" vertical="top" wrapText="1"/>
    </xf>
    <xf numFmtId="0" fontId="37" fillId="0" borderId="39" xfId="0" applyNumberFormat="1" applyFont="1" applyBorder="1" applyAlignment="1">
      <alignment horizontal="left" vertical="top" wrapText="1"/>
    </xf>
    <xf numFmtId="0" fontId="90" fillId="0" borderId="18" xfId="0" applyNumberFormat="1" applyFont="1" applyBorder="1" applyAlignment="1">
      <alignment horizontal="center" vertical="top" wrapText="1"/>
    </xf>
    <xf numFmtId="0" fontId="37" fillId="0" borderId="25" xfId="0" applyNumberFormat="1" applyFont="1" applyBorder="1" applyAlignment="1">
      <alignment horizontal="center" vertical="top" wrapText="1"/>
    </xf>
    <xf numFmtId="0" fontId="37" fillId="0" borderId="24" xfId="0" applyNumberFormat="1" applyFont="1" applyBorder="1" applyAlignment="1">
      <alignment horizontal="center" vertical="top" wrapText="1"/>
    </xf>
    <xf numFmtId="0" fontId="68" fillId="0" borderId="19" xfId="0" applyNumberFormat="1" applyFont="1" applyBorder="1" applyAlignment="1">
      <alignment horizontal="left" vertical="top" wrapText="1"/>
    </xf>
    <xf numFmtId="0" fontId="75" fillId="0" borderId="40" xfId="0" applyNumberFormat="1" applyFont="1" applyBorder="1" applyAlignment="1">
      <alignment horizontal="left" vertical="top" wrapText="1"/>
    </xf>
    <xf numFmtId="0" fontId="63" fillId="0" borderId="41" xfId="0" applyNumberFormat="1" applyFont="1" applyBorder="1" applyAlignment="1">
      <alignment horizontal="left" vertical="top" wrapText="1"/>
    </xf>
    <xf numFmtId="0" fontId="37" fillId="0" borderId="41" xfId="0" applyNumberFormat="1" applyFont="1" applyBorder="1" applyAlignment="1">
      <alignment horizontal="left" vertical="top" wrapText="1"/>
    </xf>
    <xf numFmtId="0" fontId="74" fillId="0" borderId="0" xfId="0" applyFont="1"/>
    <xf numFmtId="0" fontId="15" fillId="0" borderId="0" xfId="0" applyFont="1" applyAlignment="1">
      <alignment vertical="top"/>
    </xf>
    <xf numFmtId="0" fontId="15" fillId="0" borderId="2" xfId="0" applyFont="1" applyBorder="1"/>
    <xf numFmtId="0" fontId="15" fillId="0" borderId="26" xfId="0" applyFont="1" applyBorder="1" applyAlignment="1">
      <alignment vertical="top" wrapText="1"/>
    </xf>
    <xf numFmtId="0" fontId="15" fillId="0" borderId="0" xfId="0" applyFont="1" applyAlignment="1">
      <alignment vertical="center" wrapText="1"/>
    </xf>
    <xf numFmtId="0" fontId="37" fillId="0" borderId="0" xfId="0" applyFont="1" applyAlignment="1">
      <alignment vertical="center" wrapText="1"/>
    </xf>
    <xf numFmtId="0" fontId="15" fillId="0" borderId="1" xfId="0" applyFont="1" applyBorder="1"/>
    <xf numFmtId="0" fontId="15" fillId="0" borderId="3" xfId="0" applyFont="1" applyBorder="1"/>
    <xf numFmtId="0" fontId="15" fillId="0" borderId="27" xfId="0" applyFont="1" applyBorder="1"/>
    <xf numFmtId="0" fontId="15" fillId="0" borderId="26" xfId="0" applyFont="1" applyBorder="1"/>
    <xf numFmtId="14" fontId="15" fillId="0" borderId="26" xfId="0" applyNumberFormat="1" applyFont="1" applyBorder="1"/>
    <xf numFmtId="0" fontId="15" fillId="0" borderId="28" xfId="0" applyFont="1" applyBorder="1"/>
    <xf numFmtId="0" fontId="15" fillId="0" borderId="30" xfId="0" applyFont="1" applyBorder="1"/>
    <xf numFmtId="0" fontId="15" fillId="0" borderId="31" xfId="0" applyFont="1" applyBorder="1"/>
    <xf numFmtId="14" fontId="15" fillId="0" borderId="31" xfId="0" applyNumberFormat="1" applyFont="1" applyBorder="1"/>
    <xf numFmtId="0" fontId="15" fillId="0" borderId="31" xfId="0" applyFont="1" applyBorder="1" applyAlignment="1">
      <alignment vertical="top" wrapText="1"/>
    </xf>
    <xf numFmtId="0" fontId="15" fillId="0" borderId="32" xfId="0" applyFont="1" applyBorder="1"/>
    <xf numFmtId="0" fontId="37" fillId="0" borderId="0" xfId="2" applyFont="1"/>
    <xf numFmtId="0" fontId="95" fillId="0" borderId="0" xfId="0" applyFont="1" applyAlignment="1">
      <alignment horizontal="left" vertical="top"/>
    </xf>
    <xf numFmtId="0" fontId="97" fillId="0" borderId="0" xfId="0" applyFont="1" applyBorder="1" applyAlignment="1">
      <alignment horizontal="left" vertical="top"/>
    </xf>
    <xf numFmtId="0" fontId="96" fillId="0" borderId="0" xfId="0" applyFont="1" applyAlignment="1">
      <alignment vertical="top" wrapText="1"/>
    </xf>
    <xf numFmtId="0" fontId="99" fillId="0" borderId="0" xfId="0" applyFont="1" applyBorder="1" applyAlignment="1">
      <alignment horizontal="left" vertical="top"/>
    </xf>
    <xf numFmtId="0" fontId="16" fillId="0" borderId="0" xfId="0" applyFont="1" applyBorder="1" applyAlignment="1">
      <alignment wrapText="1"/>
    </xf>
    <xf numFmtId="0" fontId="81" fillId="0" borderId="0" xfId="0" applyFont="1" applyAlignment="1">
      <alignment horizontal="center" vertical="top"/>
    </xf>
    <xf numFmtId="0" fontId="16" fillId="0" borderId="0" xfId="0" applyFont="1" applyAlignment="1">
      <alignment horizontal="center" vertical="top" wrapText="1"/>
    </xf>
    <xf numFmtId="0" fontId="37" fillId="0" borderId="17" xfId="0" applyNumberFormat="1" applyFont="1" applyBorder="1" applyAlignment="1">
      <alignment horizontal="center" vertical="top" wrapText="1"/>
    </xf>
    <xf numFmtId="0" fontId="98" fillId="0" borderId="0" xfId="0" applyNumberFormat="1" applyFont="1" applyBorder="1" applyAlignment="1">
      <alignment horizontal="left" vertical="top"/>
    </xf>
    <xf numFmtId="0" fontId="99" fillId="0" borderId="0" xfId="0" applyNumberFormat="1" applyFont="1" applyBorder="1" applyAlignment="1">
      <alignment horizontal="left" vertical="top"/>
    </xf>
    <xf numFmtId="0" fontId="100" fillId="0" borderId="0" xfId="0" applyNumberFormat="1" applyFont="1" applyBorder="1" applyAlignment="1">
      <alignment horizontal="left" vertical="top"/>
    </xf>
    <xf numFmtId="0" fontId="100" fillId="0" borderId="0" xfId="0" applyNumberFormat="1" applyFont="1" applyBorder="1" applyAlignment="1">
      <alignment horizontal="center" vertical="top"/>
    </xf>
    <xf numFmtId="0" fontId="100" fillId="0" borderId="0" xfId="0" applyNumberFormat="1" applyFont="1" applyBorder="1" applyAlignment="1">
      <alignment vertical="top"/>
    </xf>
    <xf numFmtId="0" fontId="100" fillId="0" borderId="0" xfId="0" applyFont="1" applyAlignment="1">
      <alignment vertical="top"/>
    </xf>
    <xf numFmtId="0" fontId="99" fillId="0" borderId="0" xfId="0" applyFont="1" applyAlignment="1">
      <alignment vertical="top"/>
    </xf>
    <xf numFmtId="0" fontId="98" fillId="0" borderId="0" xfId="0" applyFont="1" applyAlignment="1">
      <alignment horizontal="left" vertical="top"/>
    </xf>
    <xf numFmtId="0" fontId="98" fillId="0" borderId="0" xfId="0" applyFont="1" applyAlignment="1">
      <alignment vertical="top"/>
    </xf>
    <xf numFmtId="0" fontId="98" fillId="0" borderId="0" xfId="0" applyFont="1" applyAlignment="1">
      <alignment horizontal="center" vertical="top"/>
    </xf>
    <xf numFmtId="0" fontId="98" fillId="0" borderId="0" xfId="0" applyNumberFormat="1" applyFont="1" applyBorder="1" applyAlignment="1">
      <alignment vertical="top"/>
    </xf>
    <xf numFmtId="0" fontId="15" fillId="0" borderId="0" xfId="0" applyFont="1" applyAlignment="1">
      <alignment horizontal="center" vertical="center"/>
    </xf>
    <xf numFmtId="0" fontId="76" fillId="0" borderId="0" xfId="0" applyFont="1" applyAlignment="1">
      <alignment horizontal="left" vertical="top"/>
    </xf>
    <xf numFmtId="0" fontId="37" fillId="0" borderId="0" xfId="0" applyFont="1" applyAlignment="1">
      <alignment horizontal="center"/>
    </xf>
    <xf numFmtId="0" fontId="14" fillId="0" borderId="2" xfId="0" applyFont="1" applyBorder="1"/>
    <xf numFmtId="0" fontId="14" fillId="0" borderId="1" xfId="0" applyFont="1" applyBorder="1"/>
    <xf numFmtId="0" fontId="16" fillId="0" borderId="26" xfId="0" applyFont="1" applyBorder="1"/>
    <xf numFmtId="0" fontId="16" fillId="0" borderId="26" xfId="0" applyFont="1" applyBorder="1" applyAlignment="1">
      <alignment horizontal="center"/>
    </xf>
    <xf numFmtId="0" fontId="11" fillId="0" borderId="0" xfId="0" applyFont="1"/>
    <xf numFmtId="0" fontId="11" fillId="0" borderId="0" xfId="0" applyFont="1" applyAlignment="1">
      <alignment horizontal="center"/>
    </xf>
    <xf numFmtId="0" fontId="74" fillId="0" borderId="0" xfId="0" applyFont="1" applyAlignment="1">
      <alignment horizontal="left"/>
    </xf>
    <xf numFmtId="0" fontId="93" fillId="0" borderId="42" xfId="0" applyFont="1" applyBorder="1" applyAlignment="1">
      <alignment horizontal="left" vertical="top" wrapText="1"/>
    </xf>
    <xf numFmtId="0" fontId="93" fillId="0" borderId="43" xfId="0" applyFont="1" applyBorder="1" applyAlignment="1">
      <alignment horizontal="left" vertical="top" wrapText="1"/>
    </xf>
    <xf numFmtId="0" fontId="11" fillId="0" borderId="44" xfId="0" applyFont="1" applyBorder="1"/>
    <xf numFmtId="0" fontId="11" fillId="0" borderId="45" xfId="0" applyFont="1" applyBorder="1"/>
    <xf numFmtId="0" fontId="93" fillId="0" borderId="46" xfId="0" applyFont="1" applyBorder="1" applyAlignment="1">
      <alignment vertical="center" wrapText="1"/>
    </xf>
    <xf numFmtId="0" fontId="11" fillId="0" borderId="46" xfId="0" applyFont="1" applyBorder="1" applyAlignment="1">
      <alignment horizontal="left" vertical="center" wrapText="1"/>
    </xf>
    <xf numFmtId="2" fontId="11" fillId="0" borderId="46" xfId="0" applyNumberFormat="1" applyFont="1" applyBorder="1" applyAlignment="1">
      <alignment horizontal="center" vertical="center" wrapText="1"/>
    </xf>
    <xf numFmtId="0" fontId="11" fillId="0" borderId="46" xfId="0" applyFont="1" applyBorder="1" applyAlignment="1">
      <alignment vertical="center" wrapText="1"/>
    </xf>
    <xf numFmtId="0" fontId="11" fillId="0" borderId="0" xfId="0" applyFont="1" applyAlignment="1">
      <alignment vertical="center"/>
    </xf>
    <xf numFmtId="0" fontId="11" fillId="0" borderId="17" xfId="0" applyFont="1" applyBorder="1" applyAlignment="1">
      <alignment horizontal="center" vertical="top"/>
    </xf>
    <xf numFmtId="0" fontId="11" fillId="0" borderId="17" xfId="0" applyFont="1" applyFill="1" applyBorder="1" applyAlignment="1">
      <alignment horizontal="center" vertical="top"/>
    </xf>
    <xf numFmtId="0" fontId="11" fillId="0" borderId="18" xfId="0" applyFont="1" applyFill="1" applyBorder="1" applyAlignment="1">
      <alignment horizontal="center" vertical="top"/>
    </xf>
    <xf numFmtId="0" fontId="11" fillId="0" borderId="25" xfId="0" applyFont="1" applyFill="1" applyBorder="1" applyAlignment="1">
      <alignment horizontal="center" vertical="top"/>
    </xf>
    <xf numFmtId="0" fontId="11" fillId="0" borderId="24" xfId="0" applyFont="1" applyFill="1" applyBorder="1" applyAlignment="1">
      <alignment horizontal="center" vertical="top"/>
    </xf>
    <xf numFmtId="0" fontId="11" fillId="0" borderId="17" xfId="0" applyFont="1" applyFill="1" applyBorder="1" applyAlignment="1">
      <alignment horizontal="left" vertical="top"/>
    </xf>
    <xf numFmtId="0" fontId="16" fillId="0" borderId="17" xfId="0" applyFont="1" applyFill="1" applyBorder="1" applyAlignment="1">
      <alignment vertical="top"/>
    </xf>
    <xf numFmtId="0" fontId="8" fillId="0" borderId="0" xfId="0" applyFont="1" applyAlignment="1">
      <alignment vertical="top"/>
    </xf>
    <xf numFmtId="0" fontId="8" fillId="0" borderId="0" xfId="0" applyFont="1" applyAlignment="1">
      <alignment vertical="top" wrapText="1"/>
    </xf>
    <xf numFmtId="0" fontId="90" fillId="0" borderId="25" xfId="0" applyNumberFormat="1" applyFont="1" applyBorder="1" applyAlignment="1">
      <alignment horizontal="left" vertical="top" wrapText="1"/>
    </xf>
    <xf numFmtId="0" fontId="68" fillId="0" borderId="17" xfId="0" applyFont="1" applyFill="1" applyBorder="1" applyAlignment="1">
      <alignment horizontal="left" vertical="center"/>
    </xf>
    <xf numFmtId="0" fontId="7" fillId="0" borderId="46" xfId="0" applyFont="1" applyBorder="1" applyAlignment="1">
      <alignment horizontal="left" vertical="center" wrapText="1"/>
    </xf>
    <xf numFmtId="0" fontId="6" fillId="0" borderId="0" xfId="0" applyFont="1" applyAlignment="1">
      <alignment vertical="top"/>
    </xf>
    <xf numFmtId="0" fontId="96" fillId="0" borderId="0" xfId="0" applyFont="1" applyAlignment="1">
      <alignment horizontal="center" vertical="top" wrapText="1"/>
    </xf>
    <xf numFmtId="0" fontId="16" fillId="0" borderId="0" xfId="0" applyFont="1" applyAlignment="1">
      <alignment horizontal="left" vertical="top" wrapText="1"/>
    </xf>
    <xf numFmtId="0" fontId="5" fillId="0" borderId="0" xfId="0" applyFont="1" applyAlignment="1">
      <alignment vertical="top"/>
    </xf>
    <xf numFmtId="0" fontId="5" fillId="0" borderId="2" xfId="0" applyFont="1" applyBorder="1"/>
    <xf numFmtId="0" fontId="11" fillId="0" borderId="18" xfId="0" applyFont="1" applyBorder="1" applyAlignment="1">
      <alignment horizontal="center" vertical="top"/>
    </xf>
    <xf numFmtId="0" fontId="4" fillId="0" borderId="0" xfId="0" applyFont="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62" fillId="0" borderId="0" xfId="0" applyFont="1" applyBorder="1" applyAlignment="1">
      <alignment vertical="top"/>
    </xf>
    <xf numFmtId="0" fontId="3" fillId="0" borderId="0" xfId="0" applyFont="1" applyBorder="1" applyAlignment="1">
      <alignment horizontal="center" vertical="top"/>
    </xf>
    <xf numFmtId="0" fontId="93" fillId="0" borderId="50" xfId="0" applyFont="1" applyBorder="1" applyAlignment="1">
      <alignment horizontal="left" vertical="top" wrapText="1"/>
    </xf>
    <xf numFmtId="0" fontId="93" fillId="0" borderId="50" xfId="0" applyFont="1" applyBorder="1" applyAlignment="1">
      <alignment horizontal="center" vertical="top" wrapText="1"/>
    </xf>
    <xf numFmtId="0" fontId="93" fillId="0" borderId="50" xfId="0" applyFont="1" applyBorder="1" applyAlignment="1">
      <alignment vertical="center" wrapText="1"/>
    </xf>
    <xf numFmtId="0" fontId="93" fillId="0" borderId="50" xfId="0" applyFont="1" applyBorder="1" applyAlignment="1">
      <alignment horizontal="center" vertical="center" wrapText="1"/>
    </xf>
    <xf numFmtId="0" fontId="93" fillId="0" borderId="50" xfId="0" applyFont="1" applyBorder="1" applyAlignment="1">
      <alignment horizontal="left" vertical="center" wrapText="1"/>
    </xf>
    <xf numFmtId="2" fontId="71" fillId="0" borderId="50" xfId="0" applyNumberFormat="1" applyFont="1" applyBorder="1" applyAlignment="1">
      <alignment horizontal="center" vertical="center" wrapText="1"/>
    </xf>
    <xf numFmtId="2" fontId="71" fillId="0" borderId="50" xfId="0" applyNumberFormat="1" applyFont="1" applyBorder="1" applyAlignment="1">
      <alignment horizontal="left" vertical="center" wrapText="1"/>
    </xf>
    <xf numFmtId="49" fontId="11" fillId="0" borderId="50" xfId="0" applyNumberFormat="1" applyFont="1" applyBorder="1" applyAlignment="1">
      <alignment vertical="center" wrapText="1"/>
    </xf>
    <xf numFmtId="0" fontId="71" fillId="0" borderId="51" xfId="0" applyFont="1" applyBorder="1" applyAlignment="1">
      <alignment vertical="center" wrapText="1"/>
    </xf>
    <xf numFmtId="0" fontId="71" fillId="0" borderId="52" xfId="0" applyFont="1" applyBorder="1" applyAlignment="1">
      <alignment horizontal="right" vertical="center" wrapText="1"/>
    </xf>
    <xf numFmtId="0" fontId="93" fillId="0" borderId="52" xfId="0" applyFont="1" applyBorder="1" applyAlignment="1">
      <alignment horizontal="left" vertical="top"/>
    </xf>
    <xf numFmtId="0" fontId="93" fillId="0" borderId="51" xfId="0" applyFont="1" applyBorder="1" applyAlignment="1">
      <alignment horizontal="left" vertical="top" wrapText="1"/>
    </xf>
    <xf numFmtId="0" fontId="71" fillId="0" borderId="50" xfId="0" applyFont="1" applyBorder="1" applyAlignment="1">
      <alignment horizontal="center"/>
    </xf>
    <xf numFmtId="0" fontId="71" fillId="0" borderId="50" xfId="0" applyFont="1" applyBorder="1" applyAlignment="1">
      <alignment vertical="center"/>
    </xf>
    <xf numFmtId="0" fontId="10" fillId="0" borderId="50" xfId="0" applyNumberFormat="1" applyFont="1" applyBorder="1" applyAlignment="1">
      <alignment horizontal="left" vertical="center" wrapText="1"/>
    </xf>
    <xf numFmtId="0" fontId="5" fillId="0" borderId="50" xfId="0" applyFont="1" applyBorder="1" applyAlignment="1">
      <alignment horizontal="left" vertical="top" wrapText="1"/>
    </xf>
    <xf numFmtId="2" fontId="11" fillId="0" borderId="50" xfId="0" applyNumberFormat="1" applyFont="1" applyBorder="1" applyAlignment="1">
      <alignment horizontal="center" vertical="center" wrapText="1"/>
    </xf>
    <xf numFmtId="0" fontId="11" fillId="0" borderId="50" xfId="0" applyFont="1" applyBorder="1"/>
    <xf numFmtId="0" fontId="11" fillId="0" borderId="50" xfId="0" applyFont="1" applyBorder="1" applyAlignment="1">
      <alignment horizontal="left" vertical="top" wrapText="1"/>
    </xf>
    <xf numFmtId="0" fontId="69" fillId="0" borderId="0" xfId="0" applyFont="1" applyAlignment="1">
      <alignment horizontal="left" vertical="top"/>
    </xf>
    <xf numFmtId="0" fontId="37" fillId="0" borderId="0" xfId="0" applyFont="1" applyBorder="1" applyAlignment="1">
      <alignment horizontal="left" vertical="top" wrapText="1"/>
    </xf>
    <xf numFmtId="0" fontId="62" fillId="0" borderId="0" xfId="0" applyFont="1" applyAlignment="1">
      <alignment horizontal="left" vertical="top"/>
    </xf>
    <xf numFmtId="0" fontId="63" fillId="34" borderId="21" xfId="0" applyFont="1" applyFill="1" applyBorder="1" applyAlignment="1">
      <alignment horizontal="left" vertical="top"/>
    </xf>
    <xf numFmtId="0" fontId="37" fillId="0" borderId="16" xfId="0" applyFont="1" applyFill="1" applyBorder="1" applyAlignment="1">
      <alignment horizontal="left" vertical="top"/>
    </xf>
    <xf numFmtId="0" fontId="37" fillId="0" borderId="22" xfId="0" applyFont="1" applyFill="1" applyBorder="1" applyAlignment="1">
      <alignment horizontal="left" vertical="top"/>
    </xf>
    <xf numFmtId="0" fontId="8" fillId="0" borderId="0" xfId="0" applyFont="1" applyAlignment="1">
      <alignment horizontal="left" vertical="center" wrapText="1"/>
    </xf>
    <xf numFmtId="0" fontId="15" fillId="0" borderId="0" xfId="0" applyFont="1" applyAlignment="1">
      <alignment horizontal="left" vertical="center"/>
    </xf>
    <xf numFmtId="0" fontId="8" fillId="0" borderId="0" xfId="0" applyFont="1" applyAlignment="1">
      <alignment horizontal="left" vertical="top"/>
    </xf>
    <xf numFmtId="0" fontId="67" fillId="0" borderId="0" xfId="0" applyNumberFormat="1" applyFont="1" applyFill="1" applyBorder="1" applyAlignment="1">
      <alignment horizontal="left" vertical="top"/>
    </xf>
    <xf numFmtId="0" fontId="69" fillId="0" borderId="0" xfId="0" applyFont="1" applyAlignment="1">
      <alignment vertical="top"/>
    </xf>
    <xf numFmtId="0" fontId="0" fillId="0" borderId="26" xfId="0" applyFont="1" applyBorder="1" applyAlignment="1">
      <alignment horizontal="left" vertical="top" wrapText="1"/>
    </xf>
    <xf numFmtId="166" fontId="0" fillId="0" borderId="26" xfId="1" applyFont="1" applyFill="1" applyBorder="1" applyAlignment="1">
      <alignment horizontal="left" vertical="top" wrapText="1"/>
    </xf>
    <xf numFmtId="0" fontId="0" fillId="0" borderId="0" xfId="0" applyFont="1" applyAlignment="1">
      <alignment vertical="top"/>
    </xf>
    <xf numFmtId="0" fontId="0" fillId="0" borderId="26" xfId="0" applyFont="1" applyFill="1" applyBorder="1" applyAlignment="1">
      <alignment horizontal="left" vertical="top" wrapText="1"/>
    </xf>
    <xf numFmtId="0" fontId="103" fillId="0" borderId="0" xfId="0" applyFont="1" applyAlignment="1">
      <alignment horizontal="left" vertical="top"/>
    </xf>
    <xf numFmtId="0" fontId="0" fillId="0" borderId="0" xfId="0" applyFont="1"/>
    <xf numFmtId="0" fontId="69" fillId="66" borderId="5" xfId="0" applyFont="1" applyFill="1" applyBorder="1" applyAlignment="1">
      <alignment horizontal="left" vertical="top"/>
    </xf>
    <xf numFmtId="49" fontId="103" fillId="0" borderId="0" xfId="0" applyNumberFormat="1" applyFont="1" applyBorder="1" applyAlignment="1">
      <alignment horizontal="left" wrapText="1"/>
    </xf>
    <xf numFmtId="49" fontId="103" fillId="0" borderId="0" xfId="0" applyNumberFormat="1" applyFont="1" applyBorder="1" applyAlignment="1">
      <alignment horizontal="left" vertical="top" wrapText="1"/>
    </xf>
    <xf numFmtId="0" fontId="103" fillId="0" borderId="0" xfId="0" applyNumberFormat="1" applyFont="1" applyBorder="1" applyAlignment="1">
      <alignment horizontal="left" vertical="top"/>
    </xf>
    <xf numFmtId="0" fontId="103" fillId="0" borderId="0" xfId="0" applyNumberFormat="1" applyFont="1" applyBorder="1" applyAlignment="1">
      <alignment horizontal="left"/>
    </xf>
    <xf numFmtId="0" fontId="103" fillId="0" borderId="0" xfId="0" applyNumberFormat="1" applyFont="1" applyBorder="1" applyAlignment="1">
      <alignment horizontal="left" vertical="center"/>
    </xf>
    <xf numFmtId="0" fontId="68" fillId="0" borderId="55" xfId="0" applyFont="1" applyFill="1" applyBorder="1" applyAlignment="1">
      <alignment horizontal="left" vertical="top"/>
    </xf>
    <xf numFmtId="0" fontId="68" fillId="0" borderId="56" xfId="0" applyFont="1" applyFill="1" applyBorder="1" applyAlignment="1">
      <alignment horizontal="left" vertical="top" wrapText="1"/>
    </xf>
    <xf numFmtId="0" fontId="68" fillId="0" borderId="57" xfId="0" applyFont="1" applyFill="1" applyBorder="1" applyAlignment="1">
      <alignment horizontal="center" vertical="top" wrapText="1"/>
    </xf>
    <xf numFmtId="0" fontId="0" fillId="0" borderId="17" xfId="0" applyFont="1" applyBorder="1" applyAlignment="1">
      <alignment horizontal="center" vertical="top"/>
    </xf>
    <xf numFmtId="0" fontId="0" fillId="0" borderId="0" xfId="0" applyFont="1" applyAlignment="1">
      <alignment vertical="top" wrapText="1"/>
    </xf>
    <xf numFmtId="0" fontId="0" fillId="0" borderId="17" xfId="0" applyFont="1" applyFill="1" applyBorder="1" applyAlignment="1">
      <alignment horizontal="center" vertical="top"/>
    </xf>
    <xf numFmtId="0" fontId="0" fillId="0" borderId="50" xfId="0" applyNumberFormat="1" applyFont="1" applyBorder="1" applyAlignment="1">
      <alignment vertical="center" wrapText="1"/>
    </xf>
    <xf numFmtId="0" fontId="75" fillId="0" borderId="53" xfId="0" applyFont="1" applyBorder="1" applyAlignment="1">
      <alignment horizontal="left" vertical="center" wrapText="1"/>
    </xf>
    <xf numFmtId="0" fontId="75" fillId="0" borderId="53" xfId="0" applyFont="1" applyBorder="1" applyAlignment="1">
      <alignment vertical="center" wrapText="1"/>
    </xf>
    <xf numFmtId="0" fontId="75" fillId="0" borderId="59" xfId="0" applyFont="1" applyBorder="1" applyAlignment="1">
      <alignment horizontal="center" vertical="center" wrapText="1"/>
    </xf>
    <xf numFmtId="0" fontId="75" fillId="0" borderId="53" xfId="0" applyFont="1" applyBorder="1" applyAlignment="1">
      <alignment horizontal="center" vertical="center" wrapText="1"/>
    </xf>
    <xf numFmtId="0" fontId="69" fillId="0" borderId="58" xfId="0" applyFont="1" applyBorder="1" applyAlignment="1">
      <alignment horizontal="left" vertical="top" wrapText="1"/>
    </xf>
    <xf numFmtId="0" fontId="70" fillId="0" borderId="58" xfId="0" applyFont="1" applyBorder="1" applyAlignment="1">
      <alignment horizontal="center" vertical="top" wrapText="1"/>
    </xf>
    <xf numFmtId="2" fontId="70" fillId="0" borderId="58" xfId="0" applyNumberFormat="1" applyFont="1" applyBorder="1" applyAlignment="1">
      <alignment horizontal="center" vertical="top" wrapText="1"/>
    </xf>
    <xf numFmtId="1" fontId="70" fillId="0" borderId="58" xfId="0" applyNumberFormat="1" applyFont="1" applyBorder="1" applyAlignment="1">
      <alignment horizontal="center" vertical="top" wrapText="1"/>
    </xf>
    <xf numFmtId="0" fontId="70" fillId="0" borderId="58" xfId="0" applyFont="1" applyBorder="1" applyAlignment="1">
      <alignment horizontal="left" vertical="top" wrapText="1"/>
    </xf>
    <xf numFmtId="0" fontId="70" fillId="0" borderId="58" xfId="0" applyNumberFormat="1" applyFont="1" applyBorder="1" applyAlignment="1">
      <alignment horizontal="center" vertical="top" wrapText="1"/>
    </xf>
    <xf numFmtId="0" fontId="71" fillId="0" borderId="58" xfId="0" applyFont="1" applyBorder="1" applyAlignment="1">
      <alignment horizontal="left" vertical="top" wrapText="1"/>
    </xf>
    <xf numFmtId="0" fontId="75" fillId="0" borderId="58" xfId="0" applyFont="1" applyBorder="1" applyAlignment="1">
      <alignment horizontal="center" vertical="top" wrapText="1"/>
    </xf>
    <xf numFmtId="2" fontId="75" fillId="0" borderId="58" xfId="0" applyNumberFormat="1" applyFont="1" applyBorder="1" applyAlignment="1">
      <alignment horizontal="center" vertical="top" wrapText="1"/>
    </xf>
    <xf numFmtId="2" fontId="75" fillId="0" borderId="58" xfId="0" applyNumberFormat="1" applyFont="1" applyBorder="1" applyAlignment="1" applyProtection="1">
      <alignment horizontal="center" vertical="top" wrapText="1"/>
    </xf>
    <xf numFmtId="1" fontId="75" fillId="0" borderId="58" xfId="0" applyNumberFormat="1" applyFont="1" applyBorder="1" applyAlignment="1">
      <alignment horizontal="center" vertical="top" wrapText="1"/>
    </xf>
    <xf numFmtId="0" fontId="75" fillId="0" borderId="58" xfId="0" applyFont="1" applyBorder="1" applyAlignment="1">
      <alignment horizontal="left" vertical="top" wrapText="1"/>
    </xf>
    <xf numFmtId="2" fontId="15" fillId="0" borderId="58" xfId="0" applyNumberFormat="1" applyFont="1" applyBorder="1" applyAlignment="1">
      <alignment horizontal="center" vertical="top" wrapText="1"/>
    </xf>
    <xf numFmtId="2" fontId="4" fillId="0" borderId="58" xfId="0" applyNumberFormat="1" applyFont="1" applyBorder="1" applyAlignment="1">
      <alignment horizontal="center" vertical="top" wrapText="1"/>
    </xf>
    <xf numFmtId="2" fontId="11" fillId="0" borderId="58" xfId="0" applyNumberFormat="1" applyFont="1" applyBorder="1" applyAlignment="1">
      <alignment horizontal="center" vertical="top" wrapText="1"/>
    </xf>
    <xf numFmtId="0" fontId="11" fillId="0" borderId="58" xfId="0" applyNumberFormat="1" applyFont="1" applyBorder="1" applyAlignment="1">
      <alignment horizontal="center" vertical="top" wrapText="1"/>
    </xf>
    <xf numFmtId="0" fontId="16" fillId="0" borderId="58" xfId="0" applyFont="1" applyBorder="1" applyAlignment="1">
      <alignment horizontal="left" vertical="top" wrapText="1"/>
    </xf>
    <xf numFmtId="2" fontId="37" fillId="0" borderId="58" xfId="0" applyNumberFormat="1" applyFont="1" applyBorder="1" applyAlignment="1">
      <alignment horizontal="center" vertical="top" wrapText="1"/>
    </xf>
    <xf numFmtId="1" fontId="37" fillId="0" borderId="58" xfId="0" applyNumberFormat="1" applyFont="1" applyBorder="1" applyAlignment="1">
      <alignment horizontal="center" vertical="top" wrapText="1"/>
    </xf>
    <xf numFmtId="0" fontId="37" fillId="0" borderId="58" xfId="0" applyFont="1" applyBorder="1" applyAlignment="1">
      <alignment horizontal="left" vertical="top" wrapText="1"/>
    </xf>
    <xf numFmtId="49" fontId="4" fillId="0" borderId="58" xfId="0" applyNumberFormat="1" applyFont="1" applyBorder="1" applyAlignment="1">
      <alignment horizontal="center" vertical="top" wrapText="1"/>
    </xf>
    <xf numFmtId="0" fontId="0" fillId="0" borderId="58" xfId="0" applyFont="1" applyBorder="1" applyAlignment="1">
      <alignment horizontal="left" vertical="top" wrapText="1"/>
    </xf>
    <xf numFmtId="2" fontId="0" fillId="0" borderId="58" xfId="0" applyNumberFormat="1" applyFont="1" applyBorder="1" applyAlignment="1">
      <alignment horizontal="center" vertical="top" wrapText="1"/>
    </xf>
    <xf numFmtId="1" fontId="0" fillId="0" borderId="58" xfId="0" applyNumberFormat="1" applyFont="1" applyBorder="1" applyAlignment="1">
      <alignment horizontal="center" vertical="top" wrapText="1"/>
    </xf>
    <xf numFmtId="49" fontId="0" fillId="0" borderId="58" xfId="0" applyNumberFormat="1" applyFont="1" applyBorder="1" applyAlignment="1">
      <alignment horizontal="center" vertical="top" wrapText="1"/>
    </xf>
    <xf numFmtId="0" fontId="0" fillId="0" borderId="58" xfId="0" applyNumberFormat="1" applyFont="1" applyBorder="1" applyAlignment="1">
      <alignment horizontal="center" vertical="top" wrapText="1"/>
    </xf>
    <xf numFmtId="0" fontId="71" fillId="0" borderId="58" xfId="0" applyFont="1" applyBorder="1" applyAlignment="1">
      <alignment horizontal="center" vertical="top" wrapText="1"/>
    </xf>
    <xf numFmtId="2" fontId="16" fillId="0" borderId="58" xfId="0" applyNumberFormat="1" applyFont="1" applyBorder="1" applyAlignment="1">
      <alignment horizontal="center" vertical="top" wrapText="1"/>
    </xf>
    <xf numFmtId="1" fontId="16" fillId="0" borderId="58" xfId="0" applyNumberFormat="1" applyFont="1" applyBorder="1" applyAlignment="1">
      <alignment horizontal="center" vertical="top" wrapText="1"/>
    </xf>
    <xf numFmtId="2" fontId="71" fillId="0" borderId="58" xfId="0" applyNumberFormat="1" applyFont="1" applyBorder="1" applyAlignment="1">
      <alignment horizontal="center" vertical="top" wrapText="1"/>
    </xf>
    <xf numFmtId="0" fontId="11" fillId="0" borderId="58" xfId="0" applyFont="1" applyBorder="1" applyAlignment="1">
      <alignment horizontal="left" vertical="top" wrapText="1"/>
    </xf>
    <xf numFmtId="1" fontId="11" fillId="0" borderId="58" xfId="0" applyNumberFormat="1" applyFont="1" applyBorder="1" applyAlignment="1">
      <alignment horizontal="center" vertical="top" wrapText="1"/>
    </xf>
    <xf numFmtId="0" fontId="0" fillId="0" borderId="24" xfId="0" applyFont="1" applyFill="1" applyBorder="1" applyAlignment="1">
      <alignment horizontal="center" vertical="top"/>
    </xf>
    <xf numFmtId="0" fontId="0" fillId="0" borderId="24" xfId="0" applyFont="1" applyBorder="1" applyAlignment="1">
      <alignment horizontal="center" vertical="top"/>
    </xf>
    <xf numFmtId="0" fontId="8" fillId="0" borderId="17" xfId="0" applyFont="1" applyBorder="1" applyAlignment="1">
      <alignment vertical="top"/>
    </xf>
    <xf numFmtId="0" fontId="11" fillId="0" borderId="17" xfId="0" applyFont="1" applyBorder="1" applyAlignment="1">
      <alignment vertical="top"/>
    </xf>
    <xf numFmtId="0" fontId="0" fillId="0" borderId="17" xfId="0" applyFont="1" applyBorder="1" applyAlignment="1">
      <alignment vertical="top"/>
    </xf>
    <xf numFmtId="0" fontId="37" fillId="0" borderId="18" xfId="0" applyNumberFormat="1" applyFont="1" applyBorder="1" applyAlignment="1">
      <alignment horizontal="center" vertical="top" wrapText="1"/>
    </xf>
    <xf numFmtId="0" fontId="11" fillId="0" borderId="18" xfId="0" applyFont="1" applyBorder="1" applyAlignment="1">
      <alignment vertical="top"/>
    </xf>
    <xf numFmtId="0" fontId="0" fillId="0" borderId="24" xfId="0" applyFont="1" applyBorder="1" applyAlignment="1">
      <alignment vertical="top"/>
    </xf>
    <xf numFmtId="0" fontId="90" fillId="0" borderId="41" xfId="0" applyNumberFormat="1" applyFont="1" applyBorder="1" applyAlignment="1">
      <alignment horizontal="left" vertical="top" wrapText="1"/>
    </xf>
    <xf numFmtId="0" fontId="18" fillId="0" borderId="0" xfId="0" applyFont="1"/>
    <xf numFmtId="2" fontId="91" fillId="0" borderId="0" xfId="0" applyNumberFormat="1" applyFont="1" applyAlignment="1">
      <alignment horizontal="left"/>
    </xf>
    <xf numFmtId="2" fontId="91" fillId="0" borderId="0" xfId="1" applyNumberFormat="1" applyFont="1" applyAlignment="1">
      <alignment horizontal="left"/>
    </xf>
    <xf numFmtId="0" fontId="91" fillId="0" borderId="0" xfId="0" applyNumberFormat="1" applyFont="1" applyAlignment="1">
      <alignment horizontal="left"/>
    </xf>
    <xf numFmtId="0" fontId="37" fillId="0" borderId="5" xfId="0" applyFont="1" applyFill="1" applyBorder="1" applyAlignment="1">
      <alignment horizontal="left" vertical="top" wrapText="1"/>
    </xf>
    <xf numFmtId="0" fontId="15" fillId="0" borderId="0" xfId="0" applyFont="1" applyAlignment="1">
      <alignment vertical="center"/>
    </xf>
    <xf numFmtId="1" fontId="0" fillId="0" borderId="26" xfId="0" applyNumberFormat="1" applyFont="1" applyFill="1" applyBorder="1" applyAlignment="1">
      <alignment horizontal="left" vertical="top" wrapText="1"/>
    </xf>
    <xf numFmtId="0" fontId="98" fillId="0" borderId="0" xfId="0" applyFont="1" applyBorder="1" applyAlignment="1">
      <alignment horizontal="left" vertical="top"/>
    </xf>
    <xf numFmtId="0" fontId="16" fillId="0" borderId="0" xfId="0" applyFont="1" applyAlignment="1">
      <alignment horizontal="left" vertical="top" wrapText="1"/>
    </xf>
    <xf numFmtId="0" fontId="37" fillId="0" borderId="0" xfId="0" applyFont="1" applyAlignment="1">
      <alignment horizontal="left" vertical="top" wrapText="1"/>
    </xf>
    <xf numFmtId="0" fontId="2" fillId="0" borderId="58" xfId="0" applyFont="1" applyBorder="1" applyAlignment="1">
      <alignment horizontal="left" vertical="top"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49" fontId="1" fillId="0" borderId="50" xfId="0" applyNumberFormat="1" applyFont="1" applyBorder="1" applyAlignment="1">
      <alignment vertical="center" wrapText="1"/>
    </xf>
    <xf numFmtId="2" fontId="1" fillId="0" borderId="50" xfId="0" applyNumberFormat="1" applyFont="1" applyBorder="1" applyAlignment="1">
      <alignment horizontal="center" vertical="top" wrapText="1"/>
    </xf>
    <xf numFmtId="2" fontId="1" fillId="0" borderId="50" xfId="0" applyNumberFormat="1" applyFont="1" applyBorder="1" applyAlignment="1">
      <alignment horizontal="left" vertical="center" wrapText="1"/>
    </xf>
    <xf numFmtId="0" fontId="1" fillId="0" borderId="50" xfId="0" applyNumberFormat="1" applyFont="1" applyBorder="1" applyAlignment="1">
      <alignment vertical="center" wrapText="1"/>
    </xf>
    <xf numFmtId="2" fontId="71" fillId="0" borderId="52" xfId="0" applyNumberFormat="1" applyFont="1" applyBorder="1" applyAlignment="1">
      <alignment horizontal="center" vertical="center" wrapText="1"/>
    </xf>
    <xf numFmtId="49" fontId="1" fillId="0" borderId="0" xfId="0" applyNumberFormat="1" applyFont="1" applyBorder="1" applyAlignment="1">
      <alignment vertical="center" wrapText="1"/>
    </xf>
    <xf numFmtId="2" fontId="1" fillId="0" borderId="0" xfId="0" applyNumberFormat="1" applyFont="1" applyBorder="1" applyAlignment="1">
      <alignment horizontal="center" vertical="top" wrapText="1"/>
    </xf>
    <xf numFmtId="2" fontId="1" fillId="0" borderId="0" xfId="0" applyNumberFormat="1" applyFont="1" applyBorder="1" applyAlignment="1">
      <alignment horizontal="left" vertical="center" wrapText="1"/>
    </xf>
    <xf numFmtId="0" fontId="83" fillId="0" borderId="34" xfId="0" applyFont="1" applyBorder="1" applyAlignment="1">
      <alignment horizontal="left" vertical="top"/>
    </xf>
    <xf numFmtId="0" fontId="16" fillId="0" borderId="34" xfId="0" applyFont="1" applyBorder="1" applyAlignment="1">
      <alignment vertical="top"/>
    </xf>
    <xf numFmtId="0" fontId="16" fillId="0" borderId="34" xfId="0" applyFont="1" applyBorder="1" applyAlignment="1">
      <alignment horizontal="center" vertical="top"/>
    </xf>
    <xf numFmtId="0" fontId="16" fillId="0" borderId="34" xfId="0" applyFont="1" applyBorder="1"/>
    <xf numFmtId="0" fontId="0" fillId="0" borderId="0" xfId="0" applyFont="1" applyAlignment="1">
      <alignment horizontal="left" vertical="top"/>
    </xf>
    <xf numFmtId="0" fontId="76" fillId="0" borderId="0" xfId="0" applyFont="1" applyAlignment="1">
      <alignment horizontal="center" vertical="center"/>
    </xf>
    <xf numFmtId="0" fontId="76" fillId="0" borderId="0" xfId="0" applyFont="1"/>
    <xf numFmtId="0" fontId="76" fillId="56" borderId="0" xfId="0" applyFont="1" applyFill="1" applyAlignment="1">
      <alignment horizontal="center"/>
    </xf>
    <xf numFmtId="0" fontId="105" fillId="0" borderId="0" xfId="0" applyFont="1" applyAlignment="1">
      <alignment horizontal="left" vertical="top"/>
    </xf>
    <xf numFmtId="0" fontId="76" fillId="0" borderId="0" xfId="0" applyFont="1" applyAlignment="1">
      <alignment horizontal="left" vertical="top" wrapText="1"/>
    </xf>
    <xf numFmtId="0" fontId="76" fillId="56" borderId="0" xfId="0" applyFont="1" applyFill="1" applyAlignment="1">
      <alignment horizontal="center" vertical="center"/>
    </xf>
    <xf numFmtId="0" fontId="76" fillId="0" borderId="0" xfId="0" applyFont="1" applyAlignment="1">
      <alignment vertical="center"/>
    </xf>
    <xf numFmtId="0" fontId="76" fillId="0" borderId="0" xfId="0" applyFont="1" applyAlignment="1"/>
    <xf numFmtId="0" fontId="76" fillId="0" borderId="0" xfId="0" applyFont="1" applyAlignment="1">
      <alignment horizontal="center"/>
    </xf>
    <xf numFmtId="0" fontId="106" fillId="0" borderId="0" xfId="0" applyFont="1" applyAlignment="1">
      <alignment horizontal="left" vertical="top"/>
    </xf>
    <xf numFmtId="0" fontId="76" fillId="56" borderId="0" xfId="0" applyFont="1" applyFill="1" applyAlignment="1">
      <alignment horizontal="center" vertical="top"/>
    </xf>
    <xf numFmtId="0" fontId="76" fillId="0" borderId="0" xfId="0" applyFont="1" applyAlignment="1">
      <alignment horizontal="right" vertical="top"/>
    </xf>
    <xf numFmtId="0" fontId="76" fillId="0" borderId="0" xfId="0" applyFont="1" applyAlignment="1">
      <alignment horizontal="center" vertical="top"/>
    </xf>
    <xf numFmtId="0" fontId="76" fillId="0" borderId="0" xfId="0" applyNumberFormat="1" applyFont="1" applyBorder="1" applyAlignment="1">
      <alignment horizontal="left" vertical="top" wrapText="1"/>
    </xf>
    <xf numFmtId="0" fontId="76" fillId="0" borderId="0" xfId="0" applyNumberFormat="1" applyFont="1" applyBorder="1" applyAlignment="1">
      <alignment horizontal="left" vertical="top"/>
    </xf>
    <xf numFmtId="0" fontId="76" fillId="0" borderId="0" xfId="0" applyNumberFormat="1" applyFont="1" applyBorder="1" applyAlignment="1">
      <alignment horizontal="center" vertical="top"/>
    </xf>
    <xf numFmtId="0" fontId="105" fillId="0" borderId="0" xfId="0" applyNumberFormat="1" applyFont="1" applyBorder="1" applyAlignment="1">
      <alignment horizontal="left" vertical="top"/>
    </xf>
    <xf numFmtId="0" fontId="105" fillId="0" borderId="0" xfId="0" applyFont="1" applyAlignment="1"/>
    <xf numFmtId="0" fontId="105" fillId="56" borderId="0" xfId="0" applyNumberFormat="1" applyFont="1" applyFill="1" applyBorder="1" applyAlignment="1">
      <alignment horizontal="center" vertical="center"/>
    </xf>
    <xf numFmtId="0" fontId="76" fillId="56" borderId="0" xfId="0" applyNumberFormat="1" applyFont="1" applyFill="1" applyBorder="1" applyAlignment="1">
      <alignment horizontal="center" vertical="center"/>
    </xf>
    <xf numFmtId="0" fontId="76" fillId="56" borderId="0" xfId="0" applyNumberFormat="1" applyFont="1" applyFill="1" applyBorder="1" applyAlignment="1">
      <alignment horizontal="left" vertical="top"/>
    </xf>
    <xf numFmtId="0" fontId="107" fillId="0" borderId="0" xfId="0" applyNumberFormat="1" applyFont="1" applyFill="1" applyBorder="1" applyAlignment="1">
      <alignment horizontal="left" vertical="top"/>
    </xf>
    <xf numFmtId="0" fontId="100" fillId="0" borderId="0" xfId="0" applyFont="1" applyAlignment="1">
      <alignment horizontal="center" vertical="top"/>
    </xf>
    <xf numFmtId="0" fontId="16" fillId="0" borderId="34" xfId="0" applyFont="1" applyBorder="1" applyAlignment="1">
      <alignment horizontal="left" vertical="top"/>
    </xf>
    <xf numFmtId="0" fontId="76" fillId="56" borderId="0" xfId="0" applyFont="1" applyFill="1" applyAlignment="1">
      <alignment vertical="top"/>
    </xf>
    <xf numFmtId="0" fontId="76" fillId="0" borderId="0" xfId="0" applyFont="1" applyFill="1" applyAlignment="1">
      <alignment vertical="top"/>
    </xf>
    <xf numFmtId="0" fontId="13" fillId="0" borderId="0" xfId="0" applyFont="1" applyAlignment="1">
      <alignment vertical="top"/>
    </xf>
    <xf numFmtId="0" fontId="9" fillId="0" borderId="0" xfId="0" applyFont="1" applyAlignment="1">
      <alignment horizontal="left" vertical="top"/>
    </xf>
    <xf numFmtId="0" fontId="68" fillId="0" borderId="17" xfId="0" applyFont="1" applyFill="1" applyBorder="1" applyAlignment="1">
      <alignment horizontal="left" vertical="top"/>
    </xf>
    <xf numFmtId="0" fontId="0" fillId="0" borderId="26" xfId="1" applyNumberFormat="1"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26" xfId="0" applyFont="1" applyFill="1" applyBorder="1" applyAlignment="1">
      <alignment horizontal="left" vertical="top"/>
    </xf>
    <xf numFmtId="0" fontId="0" fillId="0" borderId="26" xfId="0" applyNumberFormat="1" applyFont="1" applyFill="1" applyBorder="1" applyAlignment="1">
      <alignment horizontal="left" vertical="top" wrapText="1"/>
    </xf>
    <xf numFmtId="0" fontId="0" fillId="0" borderId="26" xfId="0" applyFont="1" applyBorder="1" applyAlignment="1">
      <alignment horizontal="left" vertical="top"/>
    </xf>
    <xf numFmtId="0" fontId="92" fillId="0" borderId="1" xfId="0" applyFont="1" applyBorder="1" applyAlignment="1">
      <alignment horizontal="left" vertical="top"/>
    </xf>
    <xf numFmtId="0" fontId="92" fillId="0" borderId="2" xfId="0" applyFont="1" applyBorder="1" applyAlignment="1">
      <alignment horizontal="left" vertical="top" wrapText="1"/>
    </xf>
    <xf numFmtId="0" fontId="92" fillId="0" borderId="3" xfId="0" applyFont="1" applyFill="1" applyBorder="1" applyAlignment="1">
      <alignment horizontal="left" vertical="top" wrapText="1"/>
    </xf>
    <xf numFmtId="0" fontId="5" fillId="0" borderId="2" xfId="0" applyFont="1" applyBorder="1" applyAlignment="1">
      <alignment horizontal="left" vertical="top"/>
    </xf>
    <xf numFmtId="0" fontId="0" fillId="0" borderId="2" xfId="0" applyFont="1" applyBorder="1" applyAlignment="1">
      <alignment horizontal="left" vertical="top"/>
    </xf>
    <xf numFmtId="0" fontId="71" fillId="0" borderId="2" xfId="0" applyFont="1" applyBorder="1" applyAlignment="1">
      <alignment horizontal="left" vertical="top"/>
    </xf>
    <xf numFmtId="0" fontId="92" fillId="0" borderId="0" xfId="0" applyFont="1" applyAlignment="1">
      <alignment horizontal="left" vertical="top"/>
    </xf>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71" fillId="0" borderId="26" xfId="0" applyFont="1" applyBorder="1" applyAlignment="1">
      <alignment horizontal="left" vertical="top"/>
    </xf>
    <xf numFmtId="0" fontId="92" fillId="0" borderId="0" xfId="0" applyFont="1" applyFill="1" applyBorder="1" applyAlignment="1">
      <alignment horizontal="left" vertical="top"/>
    </xf>
    <xf numFmtId="0" fontId="92" fillId="0" borderId="0" xfId="0" applyFont="1" applyFill="1" applyAlignment="1">
      <alignment horizontal="left" vertical="top" wrapText="1"/>
    </xf>
    <xf numFmtId="0" fontId="0" fillId="0" borderId="1" xfId="0" applyFont="1" applyBorder="1"/>
    <xf numFmtId="0" fontId="16" fillId="0" borderId="28" xfId="0" applyFont="1" applyFill="1" applyBorder="1"/>
    <xf numFmtId="14" fontId="16" fillId="0" borderId="29" xfId="0" applyNumberFormat="1" applyFont="1" applyFill="1" applyBorder="1" applyAlignment="1">
      <alignment horizontal="center"/>
    </xf>
    <xf numFmtId="0" fontId="16" fillId="0" borderId="29" xfId="0" applyFont="1" applyFill="1" applyBorder="1"/>
    <xf numFmtId="0" fontId="15" fillId="0" borderId="26" xfId="0" applyFont="1" applyFill="1" applyBorder="1"/>
    <xf numFmtId="0" fontId="0" fillId="0" borderId="26" xfId="0" applyFont="1" applyFill="1" applyBorder="1"/>
    <xf numFmtId="0" fontId="12" fillId="0" borderId="26" xfId="0" applyFont="1" applyFill="1" applyBorder="1"/>
    <xf numFmtId="0" fontId="14" fillId="0" borderId="26" xfId="0" applyFont="1" applyFill="1" applyBorder="1"/>
    <xf numFmtId="0" fontId="16" fillId="0" borderId="26" xfId="0" applyFont="1" applyFill="1" applyBorder="1"/>
    <xf numFmtId="14" fontId="16" fillId="0" borderId="26" xfId="0" applyNumberFormat="1" applyFont="1" applyFill="1" applyBorder="1" applyAlignment="1">
      <alignment horizontal="center"/>
    </xf>
    <xf numFmtId="168" fontId="16" fillId="0" borderId="26" xfId="0" applyNumberFormat="1" applyFont="1" applyFill="1" applyBorder="1" applyAlignment="1">
      <alignment horizontal="center"/>
    </xf>
    <xf numFmtId="0" fontId="12" fillId="0" borderId="28" xfId="0" applyFont="1" applyFill="1" applyBorder="1"/>
    <xf numFmtId="0" fontId="7" fillId="0" borderId="26" xfId="0" applyFont="1" applyFill="1" applyBorder="1"/>
    <xf numFmtId="0" fontId="5" fillId="0" borderId="26" xfId="0" applyFont="1" applyFill="1" applyBorder="1"/>
    <xf numFmtId="14" fontId="5" fillId="0" borderId="26" xfId="0" applyNumberFormat="1" applyFont="1" applyFill="1" applyBorder="1" applyAlignment="1">
      <alignment horizontal="center"/>
    </xf>
    <xf numFmtId="0" fontId="5" fillId="0" borderId="28" xfId="0" applyFont="1" applyFill="1" applyBorder="1"/>
    <xf numFmtId="0" fontId="15" fillId="0" borderId="28" xfId="0" applyFont="1" applyFill="1" applyBorder="1"/>
    <xf numFmtId="0" fontId="0" fillId="0" borderId="2" xfId="0" applyFont="1" applyFill="1" applyBorder="1"/>
    <xf numFmtId="0" fontId="0" fillId="0" borderId="2" xfId="0" applyFont="1" applyBorder="1"/>
    <xf numFmtId="0" fontId="0" fillId="65" borderId="26" xfId="0" applyFont="1" applyFill="1" applyBorder="1"/>
    <xf numFmtId="0" fontId="15" fillId="65" borderId="26" xfId="0" applyFont="1" applyFill="1" applyBorder="1"/>
    <xf numFmtId="0" fontId="16" fillId="0" borderId="54" xfId="0" applyFont="1" applyBorder="1"/>
    <xf numFmtId="0" fontId="92" fillId="0" borderId="54" xfId="0" applyFont="1" applyBorder="1" applyAlignment="1">
      <alignment horizontal="left" vertical="top"/>
    </xf>
    <xf numFmtId="0" fontId="0" fillId="0" borderId="1" xfId="0" applyFont="1" applyFill="1" applyBorder="1"/>
    <xf numFmtId="0" fontId="63" fillId="34" borderId="2" xfId="0" applyFont="1" applyFill="1" applyBorder="1"/>
    <xf numFmtId="0" fontId="0" fillId="0" borderId="3" xfId="0" applyFont="1" applyFill="1" applyBorder="1"/>
    <xf numFmtId="0" fontId="0" fillId="0" borderId="60" xfId="0" applyFont="1" applyFill="1" applyBorder="1" applyAlignment="1">
      <alignment horizontal="left" vertical="top"/>
    </xf>
    <xf numFmtId="0" fontId="0" fillId="0" borderId="30" xfId="0" applyFont="1" applyFill="1" applyBorder="1" applyAlignment="1">
      <alignment horizontal="left" vertical="top" wrapText="1"/>
    </xf>
    <xf numFmtId="14" fontId="0" fillId="0" borderId="31" xfId="0" applyNumberFormat="1" applyFont="1" applyFill="1" applyBorder="1" applyAlignment="1">
      <alignment horizontal="left" vertical="top" wrapText="1"/>
    </xf>
    <xf numFmtId="0" fontId="0" fillId="0" borderId="31" xfId="0" quotePrefix="1" applyFont="1" applyFill="1" applyBorder="1" applyAlignment="1">
      <alignment horizontal="left" vertical="top" wrapText="1"/>
    </xf>
    <xf numFmtId="1" fontId="0" fillId="0" borderId="31" xfId="0" quotePrefix="1" applyNumberFormat="1" applyFont="1" applyFill="1" applyBorder="1" applyAlignment="1">
      <alignment horizontal="left" vertical="top" wrapText="1"/>
    </xf>
    <xf numFmtId="166" fontId="0" fillId="0" borderId="31" xfId="1" quotePrefix="1" applyNumberFormat="1" applyFont="1" applyFill="1" applyBorder="1" applyAlignment="1">
      <alignment horizontal="left" vertical="top" wrapText="1"/>
    </xf>
    <xf numFmtId="0" fontId="0" fillId="0" borderId="31" xfId="1" quotePrefix="1" applyNumberFormat="1" applyFont="1" applyFill="1" applyBorder="1" applyAlignment="1">
      <alignment horizontal="left" vertical="top" wrapText="1"/>
    </xf>
    <xf numFmtId="0" fontId="0" fillId="0" borderId="31" xfId="0" applyFont="1" applyFill="1" applyBorder="1" applyAlignment="1">
      <alignment horizontal="left" vertical="top"/>
    </xf>
    <xf numFmtId="14" fontId="0" fillId="0" borderId="31" xfId="0" applyNumberFormat="1" applyFont="1" applyFill="1" applyBorder="1" applyAlignment="1">
      <alignment horizontal="left" vertical="top"/>
    </xf>
    <xf numFmtId="0" fontId="0" fillId="0" borderId="31" xfId="0" applyNumberFormat="1" applyFont="1" applyFill="1" applyBorder="1" applyAlignment="1">
      <alignment horizontal="left" vertical="top"/>
    </xf>
    <xf numFmtId="1" fontId="0" fillId="0" borderId="31" xfId="0" applyNumberFormat="1" applyFont="1" applyFill="1" applyBorder="1" applyAlignment="1">
      <alignment horizontal="left" vertical="top"/>
    </xf>
    <xf numFmtId="0" fontId="0" fillId="0" borderId="32" xfId="0" applyFont="1" applyFill="1" applyBorder="1" applyAlignment="1">
      <alignment horizontal="left" vertical="top"/>
    </xf>
    <xf numFmtId="0" fontId="0" fillId="0" borderId="30" xfId="0" applyFont="1" applyFill="1" applyBorder="1" applyAlignment="1">
      <alignment horizontal="left" vertical="top"/>
    </xf>
    <xf numFmtId="166" fontId="0" fillId="0" borderId="31" xfId="1" applyNumberFormat="1" applyFont="1" applyFill="1" applyBorder="1" applyAlignment="1">
      <alignment horizontal="left" vertical="top" wrapText="1"/>
    </xf>
    <xf numFmtId="0" fontId="0" fillId="0" borderId="31" xfId="1" applyNumberFormat="1" applyFont="1" applyFill="1" applyBorder="1" applyAlignment="1">
      <alignment horizontal="left" vertical="top" wrapText="1"/>
    </xf>
    <xf numFmtId="166" fontId="0" fillId="0" borderId="31" xfId="1" applyNumberFormat="1" applyFont="1" applyFill="1" applyBorder="1" applyAlignment="1">
      <alignment horizontal="left" vertical="top"/>
    </xf>
    <xf numFmtId="0" fontId="37" fillId="0" borderId="0" xfId="0" applyFont="1" applyBorder="1" applyAlignment="1">
      <alignment horizontal="left" vertical="top" wrapText="1"/>
    </xf>
    <xf numFmtId="0" fontId="0" fillId="0" borderId="31" xfId="0" applyFont="1" applyBorder="1" applyAlignment="1">
      <alignment horizontal="left" vertical="top"/>
    </xf>
    <xf numFmtId="0" fontId="0" fillId="0" borderId="26" xfId="0" applyFont="1" applyBorder="1"/>
    <xf numFmtId="0" fontId="0" fillId="0" borderId="0" xfId="0" applyFont="1" applyAlignment="1">
      <alignment horizontal="left" vertical="center" wrapText="1"/>
    </xf>
    <xf numFmtId="0" fontId="0" fillId="0" borderId="61" xfId="0" applyFont="1" applyBorder="1" applyAlignment="1">
      <alignment vertical="center"/>
    </xf>
    <xf numFmtId="0" fontId="94" fillId="0" borderId="0" xfId="0" applyFont="1" applyAlignment="1">
      <alignment horizontal="left" vertical="top" wrapText="1"/>
    </xf>
    <xf numFmtId="0" fontId="0" fillId="0" borderId="0" xfId="0" applyAlignment="1">
      <alignment horizontal="left" vertical="top" wrapText="1"/>
    </xf>
    <xf numFmtId="0" fontId="96" fillId="0" borderId="0" xfId="0" applyFont="1" applyAlignment="1">
      <alignment horizontal="center" vertical="top" wrapText="1"/>
    </xf>
    <xf numFmtId="0" fontId="74" fillId="0" borderId="0" xfId="0" applyFont="1" applyAlignment="1">
      <alignment horizontal="center"/>
    </xf>
    <xf numFmtId="0" fontId="11" fillId="0" borderId="47" xfId="0" applyFont="1" applyBorder="1" applyAlignment="1">
      <alignment horizontal="center" vertical="center" textRotation="90" wrapText="1"/>
    </xf>
    <xf numFmtId="0" fontId="0" fillId="0" borderId="49" xfId="0" applyBorder="1" applyAlignment="1">
      <alignment horizontal="center" vertical="center" textRotation="90" wrapText="1"/>
    </xf>
    <xf numFmtId="0" fontId="0" fillId="0" borderId="48" xfId="0" applyBorder="1" applyAlignment="1">
      <alignment horizontal="center" vertical="center" textRotation="90" wrapText="1"/>
    </xf>
    <xf numFmtId="2" fontId="11" fillId="0" borderId="47" xfId="0" applyNumberFormat="1" applyFont="1" applyBorder="1" applyAlignment="1">
      <alignment horizontal="center" vertical="center" wrapText="1"/>
    </xf>
    <xf numFmtId="2" fontId="11" fillId="0" borderId="48" xfId="0" applyNumberFormat="1" applyFont="1" applyBorder="1" applyAlignment="1">
      <alignment horizontal="center" vertical="center" wrapText="1"/>
    </xf>
    <xf numFmtId="2" fontId="11" fillId="0" borderId="49" xfId="0" applyNumberFormat="1" applyFont="1" applyBorder="1" applyAlignment="1">
      <alignment horizontal="center" vertical="center" wrapText="1"/>
    </xf>
    <xf numFmtId="0" fontId="11" fillId="0" borderId="49" xfId="0" applyFont="1" applyBorder="1" applyAlignment="1">
      <alignment horizontal="center" vertical="center" textRotation="90" wrapText="1"/>
    </xf>
    <xf numFmtId="0" fontId="98" fillId="0" borderId="0" xfId="0" applyFont="1" applyBorder="1" applyAlignment="1">
      <alignment horizontal="left" vertical="top"/>
    </xf>
    <xf numFmtId="0" fontId="15"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37" fillId="0" borderId="0" xfId="0" applyNumberFormat="1" applyFont="1" applyBorder="1" applyAlignment="1">
      <alignment horizontal="left" vertical="top" wrapText="1"/>
    </xf>
    <xf numFmtId="0" fontId="65" fillId="0" borderId="0" xfId="2" applyNumberFormat="1" applyFont="1" applyBorder="1" applyAlignment="1">
      <alignment horizontal="left" vertical="top" wrapText="1"/>
    </xf>
    <xf numFmtId="0" fontId="16" fillId="0" borderId="20" xfId="0" applyFont="1" applyBorder="1" applyAlignment="1">
      <alignment horizontal="left" vertical="top" wrapText="1"/>
    </xf>
    <xf numFmtId="0" fontId="16" fillId="0" borderId="19" xfId="0" applyFont="1" applyBorder="1" applyAlignment="1">
      <alignment horizontal="left" vertical="top" wrapText="1"/>
    </xf>
    <xf numFmtId="0" fontId="37" fillId="0" borderId="20" xfId="2" applyFont="1" applyBorder="1" applyAlignment="1">
      <alignment horizontal="left" vertical="top" wrapText="1"/>
    </xf>
    <xf numFmtId="0" fontId="37" fillId="0" borderId="19" xfId="2" applyFont="1" applyBorder="1" applyAlignment="1">
      <alignment horizontal="left" vertical="top" wrapText="1"/>
    </xf>
    <xf numFmtId="0" fontId="16" fillId="0" borderId="0" xfId="0" applyFont="1" applyBorder="1" applyAlignment="1">
      <alignment horizontal="left" vertical="top" wrapText="1"/>
    </xf>
    <xf numFmtId="0" fontId="37" fillId="0" borderId="20" xfId="0" applyNumberFormat="1" applyFont="1" applyFill="1" applyBorder="1" applyAlignment="1">
      <alignment horizontal="left" vertical="top" wrapText="1"/>
    </xf>
    <xf numFmtId="0" fontId="37" fillId="0" borderId="36" xfId="0" applyNumberFormat="1" applyFont="1" applyFill="1" applyBorder="1" applyAlignment="1">
      <alignment horizontal="left" vertical="top" wrapText="1"/>
    </xf>
    <xf numFmtId="0" fontId="37" fillId="0" borderId="19" xfId="0" applyNumberFormat="1" applyFont="1" applyFill="1" applyBorder="1" applyAlignment="1">
      <alignment horizontal="left" vertical="top" wrapText="1"/>
    </xf>
    <xf numFmtId="0" fontId="37" fillId="0" borderId="17" xfId="2" applyNumberFormat="1" applyFont="1" applyFill="1" applyBorder="1" applyAlignment="1">
      <alignment horizontal="left" vertical="top" wrapText="1"/>
    </xf>
    <xf numFmtId="0" fontId="68" fillId="0"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103" fillId="0" borderId="0" xfId="0" applyNumberFormat="1" applyFont="1" applyBorder="1" applyAlignment="1">
      <alignment horizontal="left" vertical="top" wrapText="1"/>
    </xf>
    <xf numFmtId="0" fontId="37" fillId="0" borderId="20" xfId="0" applyFont="1" applyBorder="1" applyAlignment="1">
      <alignment horizontal="left" vertical="top" wrapText="1"/>
    </xf>
    <xf numFmtId="0" fontId="37" fillId="0" borderId="19" xfId="0" applyFont="1" applyBorder="1" applyAlignment="1">
      <alignment horizontal="left" vertical="top" wrapText="1"/>
    </xf>
    <xf numFmtId="0" fontId="103" fillId="0" borderId="0" xfId="0" applyFont="1" applyAlignment="1">
      <alignment horizontal="left" vertical="top" wrapText="1"/>
    </xf>
    <xf numFmtId="0" fontId="37" fillId="0" borderId="0" xfId="0" applyFont="1" applyBorder="1" applyAlignment="1">
      <alignment horizontal="left" vertical="top" wrapText="1"/>
    </xf>
    <xf numFmtId="0" fontId="101" fillId="0" borderId="0" xfId="0" applyFont="1" applyAlignment="1">
      <alignment horizontal="left" vertical="top" wrapText="1"/>
    </xf>
    <xf numFmtId="0" fontId="102" fillId="0" borderId="0" xfId="0" applyFont="1" applyAlignment="1">
      <alignment horizontal="left" vertical="top" wrapText="1"/>
    </xf>
    <xf numFmtId="0" fontId="69" fillId="66" borderId="5" xfId="0" applyFont="1" applyFill="1" applyBorder="1" applyAlignment="1">
      <alignment horizontal="left" vertical="top" wrapText="1"/>
    </xf>
    <xf numFmtId="0" fontId="69" fillId="66" borderId="6" xfId="0" applyFont="1" applyFill="1" applyBorder="1" applyAlignment="1">
      <alignment horizontal="left" vertical="top" wrapText="1"/>
    </xf>
    <xf numFmtId="0" fontId="71" fillId="0" borderId="0" xfId="0" applyFont="1" applyAlignment="1">
      <alignment horizontal="left" vertical="top" wrapText="1"/>
    </xf>
    <xf numFmtId="0" fontId="0" fillId="0" borderId="0" xfId="0" applyFont="1" applyAlignment="1">
      <alignment horizontal="left" vertical="top" wrapText="1"/>
    </xf>
  </cellXfs>
  <cellStyles count="981">
    <cellStyle name="20% - Accent1" xfId="20" builtinId="30" customBuiltin="1"/>
    <cellStyle name="20% - Accent1 2" xfId="52" xr:uid="{00000000-0005-0000-0000-000001000000}"/>
    <cellStyle name="20% - Accent1 2 2" xfId="139" xr:uid="{00000000-0005-0000-0000-000002000000}"/>
    <cellStyle name="20% - Accent1 2 3" xfId="257" xr:uid="{00000000-0005-0000-0000-000003000000}"/>
    <cellStyle name="20% - Accent1 3" xfId="66" xr:uid="{00000000-0005-0000-0000-000004000000}"/>
    <cellStyle name="20% - Accent1 3 2" xfId="153" xr:uid="{00000000-0005-0000-0000-000005000000}"/>
    <cellStyle name="20% - Accent1 4" xfId="82" xr:uid="{00000000-0005-0000-0000-000006000000}"/>
    <cellStyle name="20% - Accent1 4 2" xfId="168" xr:uid="{00000000-0005-0000-0000-000007000000}"/>
    <cellStyle name="20% - Accent1 5" xfId="96" xr:uid="{00000000-0005-0000-0000-000008000000}"/>
    <cellStyle name="20% - Accent1 5 2" xfId="182" xr:uid="{00000000-0005-0000-0000-000009000000}"/>
    <cellStyle name="20% - Accent1 6" xfId="110" xr:uid="{00000000-0005-0000-0000-00000A000000}"/>
    <cellStyle name="20% - Accent1 6 2" xfId="196" xr:uid="{00000000-0005-0000-0000-00000B000000}"/>
    <cellStyle name="20% - Accent1 7" xfId="122" xr:uid="{00000000-0005-0000-0000-00000C000000}"/>
    <cellStyle name="20% - Accent1 8" xfId="228" xr:uid="{00000000-0005-0000-0000-00000D000000}"/>
    <cellStyle name="20% - Accent2" xfId="24" builtinId="34" customBuiltin="1"/>
    <cellStyle name="20% - Accent2 2" xfId="54" xr:uid="{00000000-0005-0000-0000-00000F000000}"/>
    <cellStyle name="20% - Accent2 2 2" xfId="141" xr:uid="{00000000-0005-0000-0000-000010000000}"/>
    <cellStyle name="20% - Accent2 2 3" xfId="258" xr:uid="{00000000-0005-0000-0000-000011000000}"/>
    <cellStyle name="20% - Accent2 3" xfId="68" xr:uid="{00000000-0005-0000-0000-000012000000}"/>
    <cellStyle name="20% - Accent2 3 2" xfId="155" xr:uid="{00000000-0005-0000-0000-000013000000}"/>
    <cellStyle name="20% - Accent2 4" xfId="84" xr:uid="{00000000-0005-0000-0000-000014000000}"/>
    <cellStyle name="20% - Accent2 4 2" xfId="170" xr:uid="{00000000-0005-0000-0000-000015000000}"/>
    <cellStyle name="20% - Accent2 5" xfId="98" xr:uid="{00000000-0005-0000-0000-000016000000}"/>
    <cellStyle name="20% - Accent2 5 2" xfId="184" xr:uid="{00000000-0005-0000-0000-000017000000}"/>
    <cellStyle name="20% - Accent2 6" xfId="112" xr:uid="{00000000-0005-0000-0000-000018000000}"/>
    <cellStyle name="20% - Accent2 6 2" xfId="198" xr:uid="{00000000-0005-0000-0000-000019000000}"/>
    <cellStyle name="20% - Accent2 7" xfId="124" xr:uid="{00000000-0005-0000-0000-00001A000000}"/>
    <cellStyle name="20% - Accent2 8" xfId="232" xr:uid="{00000000-0005-0000-0000-00001B000000}"/>
    <cellStyle name="20% - Accent3" xfId="28" builtinId="38" customBuiltin="1"/>
    <cellStyle name="20% - Accent3 2" xfId="56" xr:uid="{00000000-0005-0000-0000-00001D000000}"/>
    <cellStyle name="20% - Accent3 2 2" xfId="143" xr:uid="{00000000-0005-0000-0000-00001E000000}"/>
    <cellStyle name="20% - Accent3 2 3" xfId="259" xr:uid="{00000000-0005-0000-0000-00001F000000}"/>
    <cellStyle name="20% - Accent3 3" xfId="70" xr:uid="{00000000-0005-0000-0000-000020000000}"/>
    <cellStyle name="20% - Accent3 3 2" xfId="157" xr:uid="{00000000-0005-0000-0000-000021000000}"/>
    <cellStyle name="20% - Accent3 4" xfId="86" xr:uid="{00000000-0005-0000-0000-000022000000}"/>
    <cellStyle name="20% - Accent3 4 2" xfId="172" xr:uid="{00000000-0005-0000-0000-000023000000}"/>
    <cellStyle name="20% - Accent3 5" xfId="100" xr:uid="{00000000-0005-0000-0000-000024000000}"/>
    <cellStyle name="20% - Accent3 5 2" xfId="186" xr:uid="{00000000-0005-0000-0000-000025000000}"/>
    <cellStyle name="20% - Accent3 6" xfId="114" xr:uid="{00000000-0005-0000-0000-000026000000}"/>
    <cellStyle name="20% - Accent3 6 2" xfId="200" xr:uid="{00000000-0005-0000-0000-000027000000}"/>
    <cellStyle name="20% - Accent3 7" xfId="126" xr:uid="{00000000-0005-0000-0000-000028000000}"/>
    <cellStyle name="20% - Accent3 8" xfId="236" xr:uid="{00000000-0005-0000-0000-000029000000}"/>
    <cellStyle name="20% - Accent4" xfId="32" builtinId="42" customBuiltin="1"/>
    <cellStyle name="20% - Accent4 2" xfId="58" xr:uid="{00000000-0005-0000-0000-00002B000000}"/>
    <cellStyle name="20% - Accent4 2 2" xfId="145" xr:uid="{00000000-0005-0000-0000-00002C000000}"/>
    <cellStyle name="20% - Accent4 2 3" xfId="260" xr:uid="{00000000-0005-0000-0000-00002D000000}"/>
    <cellStyle name="20% - Accent4 3" xfId="72" xr:uid="{00000000-0005-0000-0000-00002E000000}"/>
    <cellStyle name="20% - Accent4 3 2" xfId="159" xr:uid="{00000000-0005-0000-0000-00002F000000}"/>
    <cellStyle name="20% - Accent4 4" xfId="88" xr:uid="{00000000-0005-0000-0000-000030000000}"/>
    <cellStyle name="20% - Accent4 4 2" xfId="174" xr:uid="{00000000-0005-0000-0000-000031000000}"/>
    <cellStyle name="20% - Accent4 5" xfId="102" xr:uid="{00000000-0005-0000-0000-000032000000}"/>
    <cellStyle name="20% - Accent4 5 2" xfId="188" xr:uid="{00000000-0005-0000-0000-000033000000}"/>
    <cellStyle name="20% - Accent4 6" xfId="116" xr:uid="{00000000-0005-0000-0000-000034000000}"/>
    <cellStyle name="20% - Accent4 6 2" xfId="202" xr:uid="{00000000-0005-0000-0000-000035000000}"/>
    <cellStyle name="20% - Accent4 7" xfId="128" xr:uid="{00000000-0005-0000-0000-000036000000}"/>
    <cellStyle name="20% - Accent4 8" xfId="240" xr:uid="{00000000-0005-0000-0000-000037000000}"/>
    <cellStyle name="20% - Accent5" xfId="36" builtinId="46" customBuiltin="1"/>
    <cellStyle name="20% - Accent5 2" xfId="60" xr:uid="{00000000-0005-0000-0000-000039000000}"/>
    <cellStyle name="20% - Accent5 2 2" xfId="147" xr:uid="{00000000-0005-0000-0000-00003A000000}"/>
    <cellStyle name="20% - Accent5 2 3" xfId="261" xr:uid="{00000000-0005-0000-0000-00003B000000}"/>
    <cellStyle name="20% - Accent5 3" xfId="74" xr:uid="{00000000-0005-0000-0000-00003C000000}"/>
    <cellStyle name="20% - Accent5 3 2" xfId="161" xr:uid="{00000000-0005-0000-0000-00003D000000}"/>
    <cellStyle name="20% - Accent5 4" xfId="90" xr:uid="{00000000-0005-0000-0000-00003E000000}"/>
    <cellStyle name="20% - Accent5 4 2" xfId="176" xr:uid="{00000000-0005-0000-0000-00003F000000}"/>
    <cellStyle name="20% - Accent5 5" xfId="104" xr:uid="{00000000-0005-0000-0000-000040000000}"/>
    <cellStyle name="20% - Accent5 5 2" xfId="190" xr:uid="{00000000-0005-0000-0000-000041000000}"/>
    <cellStyle name="20% - Accent5 6" xfId="118" xr:uid="{00000000-0005-0000-0000-000042000000}"/>
    <cellStyle name="20% - Accent5 6 2" xfId="204" xr:uid="{00000000-0005-0000-0000-000043000000}"/>
    <cellStyle name="20% - Accent5 7" xfId="130" xr:uid="{00000000-0005-0000-0000-000044000000}"/>
    <cellStyle name="20% - Accent5 8" xfId="244" xr:uid="{00000000-0005-0000-0000-000045000000}"/>
    <cellStyle name="20% - Accent6" xfId="40" builtinId="50" customBuiltin="1"/>
    <cellStyle name="20% - Accent6 2" xfId="62" xr:uid="{00000000-0005-0000-0000-000047000000}"/>
    <cellStyle name="20% - Accent6 2 2" xfId="149" xr:uid="{00000000-0005-0000-0000-000048000000}"/>
    <cellStyle name="20% - Accent6 2 3" xfId="262" xr:uid="{00000000-0005-0000-0000-000049000000}"/>
    <cellStyle name="20% - Accent6 3" xfId="76" xr:uid="{00000000-0005-0000-0000-00004A000000}"/>
    <cellStyle name="20% - Accent6 3 2" xfId="163" xr:uid="{00000000-0005-0000-0000-00004B000000}"/>
    <cellStyle name="20% - Accent6 4" xfId="92" xr:uid="{00000000-0005-0000-0000-00004C000000}"/>
    <cellStyle name="20% - Accent6 4 2" xfId="178" xr:uid="{00000000-0005-0000-0000-00004D000000}"/>
    <cellStyle name="20% - Accent6 5" xfId="106" xr:uid="{00000000-0005-0000-0000-00004E000000}"/>
    <cellStyle name="20% - Accent6 5 2" xfId="192" xr:uid="{00000000-0005-0000-0000-00004F000000}"/>
    <cellStyle name="20% - Accent6 6" xfId="120" xr:uid="{00000000-0005-0000-0000-000050000000}"/>
    <cellStyle name="20% - Accent6 6 2" xfId="206" xr:uid="{00000000-0005-0000-0000-000051000000}"/>
    <cellStyle name="20% - Accent6 7" xfId="132" xr:uid="{00000000-0005-0000-0000-000052000000}"/>
    <cellStyle name="20% - Accent6 8" xfId="248" xr:uid="{00000000-0005-0000-0000-000053000000}"/>
    <cellStyle name="40% - Accent1" xfId="21" builtinId="31" customBuiltin="1"/>
    <cellStyle name="40% - Accent1 2" xfId="53" xr:uid="{00000000-0005-0000-0000-000055000000}"/>
    <cellStyle name="40% - Accent1 2 2" xfId="140" xr:uid="{00000000-0005-0000-0000-000056000000}"/>
    <cellStyle name="40% - Accent1 2 3" xfId="263" xr:uid="{00000000-0005-0000-0000-000057000000}"/>
    <cellStyle name="40% - Accent1 3" xfId="67" xr:uid="{00000000-0005-0000-0000-000058000000}"/>
    <cellStyle name="40% - Accent1 3 2" xfId="154" xr:uid="{00000000-0005-0000-0000-000059000000}"/>
    <cellStyle name="40% - Accent1 4" xfId="83" xr:uid="{00000000-0005-0000-0000-00005A000000}"/>
    <cellStyle name="40% - Accent1 4 2" xfId="169" xr:uid="{00000000-0005-0000-0000-00005B000000}"/>
    <cellStyle name="40% - Accent1 5" xfId="97" xr:uid="{00000000-0005-0000-0000-00005C000000}"/>
    <cellStyle name="40% - Accent1 5 2" xfId="183" xr:uid="{00000000-0005-0000-0000-00005D000000}"/>
    <cellStyle name="40% - Accent1 6" xfId="111" xr:uid="{00000000-0005-0000-0000-00005E000000}"/>
    <cellStyle name="40% - Accent1 6 2" xfId="197" xr:uid="{00000000-0005-0000-0000-00005F000000}"/>
    <cellStyle name="40% - Accent1 7" xfId="123" xr:uid="{00000000-0005-0000-0000-000060000000}"/>
    <cellStyle name="40% - Accent1 8" xfId="229" xr:uid="{00000000-0005-0000-0000-000061000000}"/>
    <cellStyle name="40% - Accent2" xfId="25" builtinId="35" customBuiltin="1"/>
    <cellStyle name="40% - Accent2 2" xfId="55" xr:uid="{00000000-0005-0000-0000-000063000000}"/>
    <cellStyle name="40% - Accent2 2 2" xfId="142" xr:uid="{00000000-0005-0000-0000-000064000000}"/>
    <cellStyle name="40% - Accent2 2 3" xfId="264" xr:uid="{00000000-0005-0000-0000-000065000000}"/>
    <cellStyle name="40% - Accent2 3" xfId="69" xr:uid="{00000000-0005-0000-0000-000066000000}"/>
    <cellStyle name="40% - Accent2 3 2" xfId="156" xr:uid="{00000000-0005-0000-0000-000067000000}"/>
    <cellStyle name="40% - Accent2 4" xfId="85" xr:uid="{00000000-0005-0000-0000-000068000000}"/>
    <cellStyle name="40% - Accent2 4 2" xfId="171" xr:uid="{00000000-0005-0000-0000-000069000000}"/>
    <cellStyle name="40% - Accent2 5" xfId="99" xr:uid="{00000000-0005-0000-0000-00006A000000}"/>
    <cellStyle name="40% - Accent2 5 2" xfId="185" xr:uid="{00000000-0005-0000-0000-00006B000000}"/>
    <cellStyle name="40% - Accent2 6" xfId="113" xr:uid="{00000000-0005-0000-0000-00006C000000}"/>
    <cellStyle name="40% - Accent2 6 2" xfId="199" xr:uid="{00000000-0005-0000-0000-00006D000000}"/>
    <cellStyle name="40% - Accent2 7" xfId="125" xr:uid="{00000000-0005-0000-0000-00006E000000}"/>
    <cellStyle name="40% - Accent2 8" xfId="233" xr:uid="{00000000-0005-0000-0000-00006F000000}"/>
    <cellStyle name="40% - Accent3" xfId="29" builtinId="39" customBuiltin="1"/>
    <cellStyle name="40% - Accent3 2" xfId="57" xr:uid="{00000000-0005-0000-0000-000071000000}"/>
    <cellStyle name="40% - Accent3 2 2" xfId="144" xr:uid="{00000000-0005-0000-0000-000072000000}"/>
    <cellStyle name="40% - Accent3 2 3" xfId="265" xr:uid="{00000000-0005-0000-0000-000073000000}"/>
    <cellStyle name="40% - Accent3 3" xfId="71" xr:uid="{00000000-0005-0000-0000-000074000000}"/>
    <cellStyle name="40% - Accent3 3 2" xfId="158" xr:uid="{00000000-0005-0000-0000-000075000000}"/>
    <cellStyle name="40% - Accent3 4" xfId="87" xr:uid="{00000000-0005-0000-0000-000076000000}"/>
    <cellStyle name="40% - Accent3 4 2" xfId="173" xr:uid="{00000000-0005-0000-0000-000077000000}"/>
    <cellStyle name="40% - Accent3 5" xfId="101" xr:uid="{00000000-0005-0000-0000-000078000000}"/>
    <cellStyle name="40% - Accent3 5 2" xfId="187" xr:uid="{00000000-0005-0000-0000-000079000000}"/>
    <cellStyle name="40% - Accent3 6" xfId="115" xr:uid="{00000000-0005-0000-0000-00007A000000}"/>
    <cellStyle name="40% - Accent3 6 2" xfId="201" xr:uid="{00000000-0005-0000-0000-00007B000000}"/>
    <cellStyle name="40% - Accent3 7" xfId="127" xr:uid="{00000000-0005-0000-0000-00007C000000}"/>
    <cellStyle name="40% - Accent3 8" xfId="237" xr:uid="{00000000-0005-0000-0000-00007D000000}"/>
    <cellStyle name="40% - Accent4" xfId="33" builtinId="43" customBuiltin="1"/>
    <cellStyle name="40% - Accent4 2" xfId="59" xr:uid="{00000000-0005-0000-0000-00007F000000}"/>
    <cellStyle name="40% - Accent4 2 2" xfId="146" xr:uid="{00000000-0005-0000-0000-000080000000}"/>
    <cellStyle name="40% - Accent4 2 3" xfId="266" xr:uid="{00000000-0005-0000-0000-000081000000}"/>
    <cellStyle name="40% - Accent4 3" xfId="73" xr:uid="{00000000-0005-0000-0000-000082000000}"/>
    <cellStyle name="40% - Accent4 3 2" xfId="160" xr:uid="{00000000-0005-0000-0000-000083000000}"/>
    <cellStyle name="40% - Accent4 4" xfId="89" xr:uid="{00000000-0005-0000-0000-000084000000}"/>
    <cellStyle name="40% - Accent4 4 2" xfId="175" xr:uid="{00000000-0005-0000-0000-000085000000}"/>
    <cellStyle name="40% - Accent4 5" xfId="103" xr:uid="{00000000-0005-0000-0000-000086000000}"/>
    <cellStyle name="40% - Accent4 5 2" xfId="189" xr:uid="{00000000-0005-0000-0000-000087000000}"/>
    <cellStyle name="40% - Accent4 6" xfId="117" xr:uid="{00000000-0005-0000-0000-000088000000}"/>
    <cellStyle name="40% - Accent4 6 2" xfId="203" xr:uid="{00000000-0005-0000-0000-000089000000}"/>
    <cellStyle name="40% - Accent4 7" xfId="129" xr:uid="{00000000-0005-0000-0000-00008A000000}"/>
    <cellStyle name="40% - Accent4 8" xfId="241" xr:uid="{00000000-0005-0000-0000-00008B000000}"/>
    <cellStyle name="40% - Accent5" xfId="37" builtinId="47" customBuiltin="1"/>
    <cellStyle name="40% - Accent5 2" xfId="61" xr:uid="{00000000-0005-0000-0000-00008D000000}"/>
    <cellStyle name="40% - Accent5 2 2" xfId="148" xr:uid="{00000000-0005-0000-0000-00008E000000}"/>
    <cellStyle name="40% - Accent5 2 3" xfId="267" xr:uid="{00000000-0005-0000-0000-00008F000000}"/>
    <cellStyle name="40% - Accent5 3" xfId="75" xr:uid="{00000000-0005-0000-0000-000090000000}"/>
    <cellStyle name="40% - Accent5 3 2" xfId="162" xr:uid="{00000000-0005-0000-0000-000091000000}"/>
    <cellStyle name="40% - Accent5 4" xfId="91" xr:uid="{00000000-0005-0000-0000-000092000000}"/>
    <cellStyle name="40% - Accent5 4 2" xfId="177" xr:uid="{00000000-0005-0000-0000-000093000000}"/>
    <cellStyle name="40% - Accent5 5" xfId="105" xr:uid="{00000000-0005-0000-0000-000094000000}"/>
    <cellStyle name="40% - Accent5 5 2" xfId="191" xr:uid="{00000000-0005-0000-0000-000095000000}"/>
    <cellStyle name="40% - Accent5 6" xfId="119" xr:uid="{00000000-0005-0000-0000-000096000000}"/>
    <cellStyle name="40% - Accent5 6 2" xfId="205" xr:uid="{00000000-0005-0000-0000-000097000000}"/>
    <cellStyle name="40% - Accent5 7" xfId="131" xr:uid="{00000000-0005-0000-0000-000098000000}"/>
    <cellStyle name="40% - Accent5 8" xfId="245" xr:uid="{00000000-0005-0000-0000-000099000000}"/>
    <cellStyle name="40% - Accent6" xfId="41" builtinId="51" customBuiltin="1"/>
    <cellStyle name="40% - Accent6 2" xfId="63" xr:uid="{00000000-0005-0000-0000-00009B000000}"/>
    <cellStyle name="40% - Accent6 2 2" xfId="150" xr:uid="{00000000-0005-0000-0000-00009C000000}"/>
    <cellStyle name="40% - Accent6 2 3" xfId="268" xr:uid="{00000000-0005-0000-0000-00009D000000}"/>
    <cellStyle name="40% - Accent6 3" xfId="77" xr:uid="{00000000-0005-0000-0000-00009E000000}"/>
    <cellStyle name="40% - Accent6 3 2" xfId="164" xr:uid="{00000000-0005-0000-0000-00009F000000}"/>
    <cellStyle name="40% - Accent6 4" xfId="93" xr:uid="{00000000-0005-0000-0000-0000A0000000}"/>
    <cellStyle name="40% - Accent6 4 2" xfId="179" xr:uid="{00000000-0005-0000-0000-0000A1000000}"/>
    <cellStyle name="40% - Accent6 5" xfId="107" xr:uid="{00000000-0005-0000-0000-0000A2000000}"/>
    <cellStyle name="40% - Accent6 5 2" xfId="193" xr:uid="{00000000-0005-0000-0000-0000A3000000}"/>
    <cellStyle name="40% - Accent6 6" xfId="121" xr:uid="{00000000-0005-0000-0000-0000A4000000}"/>
    <cellStyle name="40% - Accent6 6 2" xfId="207" xr:uid="{00000000-0005-0000-0000-0000A5000000}"/>
    <cellStyle name="40% - Accent6 7" xfId="133" xr:uid="{00000000-0005-0000-0000-0000A6000000}"/>
    <cellStyle name="40% - Accent6 8" xfId="249" xr:uid="{00000000-0005-0000-0000-0000A7000000}"/>
    <cellStyle name="60% - Accent1" xfId="22" builtinId="32" customBuiltin="1"/>
    <cellStyle name="60% - Accent1 2" xfId="269" xr:uid="{00000000-0005-0000-0000-0000A9000000}"/>
    <cellStyle name="60% - Accent1 3" xfId="230" xr:uid="{00000000-0005-0000-0000-0000AA000000}"/>
    <cellStyle name="60% - Accent2" xfId="26" builtinId="36" customBuiltin="1"/>
    <cellStyle name="60% - Accent2 2" xfId="270" xr:uid="{00000000-0005-0000-0000-0000AC000000}"/>
    <cellStyle name="60% - Accent2 3" xfId="234" xr:uid="{00000000-0005-0000-0000-0000AD000000}"/>
    <cellStyle name="60% - Accent3" xfId="30" builtinId="40" customBuiltin="1"/>
    <cellStyle name="60% - Accent3 2" xfId="271" xr:uid="{00000000-0005-0000-0000-0000AF000000}"/>
    <cellStyle name="60% - Accent3 3" xfId="238" xr:uid="{00000000-0005-0000-0000-0000B0000000}"/>
    <cellStyle name="60% - Accent4" xfId="34" builtinId="44" customBuiltin="1"/>
    <cellStyle name="60% - Accent4 2" xfId="272" xr:uid="{00000000-0005-0000-0000-0000B2000000}"/>
    <cellStyle name="60% - Accent4 3" xfId="242" xr:uid="{00000000-0005-0000-0000-0000B3000000}"/>
    <cellStyle name="60% - Accent5" xfId="38" builtinId="48" customBuiltin="1"/>
    <cellStyle name="60% - Accent5 2" xfId="273" xr:uid="{00000000-0005-0000-0000-0000B5000000}"/>
    <cellStyle name="60% - Accent5 3" xfId="246" xr:uid="{00000000-0005-0000-0000-0000B6000000}"/>
    <cellStyle name="60% - Accent6" xfId="42" builtinId="52" customBuiltin="1"/>
    <cellStyle name="60% - Accent6 2" xfId="274" xr:uid="{00000000-0005-0000-0000-0000B8000000}"/>
    <cellStyle name="60% - Accent6 3" xfId="250" xr:uid="{00000000-0005-0000-0000-0000B9000000}"/>
    <cellStyle name="Accent1" xfId="19" builtinId="29" customBuiltin="1"/>
    <cellStyle name="Accent1 2" xfId="275" xr:uid="{00000000-0005-0000-0000-0000BB000000}"/>
    <cellStyle name="Accent1 3" xfId="227" xr:uid="{00000000-0005-0000-0000-0000BC000000}"/>
    <cellStyle name="Accent2" xfId="23" builtinId="33" customBuiltin="1"/>
    <cellStyle name="Accent2 2" xfId="276" xr:uid="{00000000-0005-0000-0000-0000BE000000}"/>
    <cellStyle name="Accent2 3" xfId="231" xr:uid="{00000000-0005-0000-0000-0000BF000000}"/>
    <cellStyle name="Accent3" xfId="27" builtinId="37" customBuiltin="1"/>
    <cellStyle name="Accent3 2" xfId="277" xr:uid="{00000000-0005-0000-0000-0000C1000000}"/>
    <cellStyle name="Accent3 3" xfId="235" xr:uid="{00000000-0005-0000-0000-0000C2000000}"/>
    <cellStyle name="Accent4" xfId="31" builtinId="41" customBuiltin="1"/>
    <cellStyle name="Accent4 2" xfId="278" xr:uid="{00000000-0005-0000-0000-0000C4000000}"/>
    <cellStyle name="Accent4 3" xfId="239" xr:uid="{00000000-0005-0000-0000-0000C5000000}"/>
    <cellStyle name="Accent5" xfId="35" builtinId="45" customBuiltin="1"/>
    <cellStyle name="Accent5 2" xfId="279" xr:uid="{00000000-0005-0000-0000-0000C7000000}"/>
    <cellStyle name="Accent5 3" xfId="243" xr:uid="{00000000-0005-0000-0000-0000C8000000}"/>
    <cellStyle name="Accent6" xfId="39" builtinId="49" customBuiltin="1"/>
    <cellStyle name="Accent6 2" xfId="280" xr:uid="{00000000-0005-0000-0000-0000CA000000}"/>
    <cellStyle name="Accent6 3" xfId="247" xr:uid="{00000000-0005-0000-0000-0000CB000000}"/>
    <cellStyle name="Bad" xfId="9" builtinId="27" customBuiltin="1"/>
    <cellStyle name="Bad 2" xfId="281" xr:uid="{00000000-0005-0000-0000-0000CD000000}"/>
    <cellStyle name="Bad 3" xfId="217" xr:uid="{00000000-0005-0000-0000-0000CE000000}"/>
    <cellStyle name="Calculation" xfId="13" builtinId="22" customBuiltin="1"/>
    <cellStyle name="Calculation 2" xfId="282" xr:uid="{00000000-0005-0000-0000-0000D0000000}"/>
    <cellStyle name="Calculation 3" xfId="221" xr:uid="{00000000-0005-0000-0000-0000D1000000}"/>
    <cellStyle name="Check Cell" xfId="15" builtinId="23" customBuiltin="1"/>
    <cellStyle name="Check Cell 2" xfId="283" xr:uid="{00000000-0005-0000-0000-0000D3000000}"/>
    <cellStyle name="Check Cell 3" xfId="223" xr:uid="{00000000-0005-0000-0000-0000D4000000}"/>
    <cellStyle name="Comma [0] 2" xfId="285" xr:uid="{00000000-0005-0000-0000-0000D5000000}"/>
    <cellStyle name="Comma 2" xfId="284" xr:uid="{00000000-0005-0000-0000-0000D6000000}"/>
    <cellStyle name="Comma 2 2" xfId="650" xr:uid="{00000000-0005-0000-0000-0000D7000000}"/>
    <cellStyle name="Comma 2 3" xfId="316" xr:uid="{00000000-0005-0000-0000-0000D8000000}"/>
    <cellStyle name="Currency" xfId="1" builtinId="4"/>
    <cellStyle name="Currency [0] 2" xfId="287" xr:uid="{00000000-0005-0000-0000-0000DA000000}"/>
    <cellStyle name="Currency 10" xfId="377" xr:uid="{00000000-0005-0000-0000-0000DB000000}"/>
    <cellStyle name="Currency 10 2" xfId="548" xr:uid="{00000000-0005-0000-0000-0000DC000000}"/>
    <cellStyle name="Currency 10 2 2" xfId="882" xr:uid="{00000000-0005-0000-0000-0000DD000000}"/>
    <cellStyle name="Currency 11" xfId="305" xr:uid="{00000000-0005-0000-0000-0000DE000000}"/>
    <cellStyle name="Currency 12" xfId="653" xr:uid="{00000000-0005-0000-0000-0000DF000000}"/>
    <cellStyle name="Currency 13" xfId="656" xr:uid="{00000000-0005-0000-0000-0000E0000000}"/>
    <cellStyle name="Currency 14" xfId="966" xr:uid="{00000000-0005-0000-0000-0000E1000000}"/>
    <cellStyle name="Currency 15" xfId="967" xr:uid="{00000000-0005-0000-0000-0000E2000000}"/>
    <cellStyle name="Currency 16" xfId="968" xr:uid="{00000000-0005-0000-0000-0000E3000000}"/>
    <cellStyle name="Currency 17" xfId="969" xr:uid="{00000000-0005-0000-0000-0000E4000000}"/>
    <cellStyle name="Currency 18" xfId="970" xr:uid="{00000000-0005-0000-0000-0000E5000000}"/>
    <cellStyle name="Currency 19" xfId="211" xr:uid="{00000000-0005-0000-0000-0000E6000000}"/>
    <cellStyle name="Currency 2" xfId="78" xr:uid="{00000000-0005-0000-0000-0000E7000000}"/>
    <cellStyle name="Currency 2 2" xfId="593" xr:uid="{00000000-0005-0000-0000-0000E8000000}"/>
    <cellStyle name="Currency 2 3" xfId="582" xr:uid="{00000000-0005-0000-0000-0000E9000000}"/>
    <cellStyle name="Currency 2 4" xfId="651" xr:uid="{00000000-0005-0000-0000-0000EA000000}"/>
    <cellStyle name="Currency 2 5" xfId="309" xr:uid="{00000000-0005-0000-0000-0000EB000000}"/>
    <cellStyle name="Currency 2 6" xfId="286" xr:uid="{00000000-0005-0000-0000-0000EC000000}"/>
    <cellStyle name="Currency 20" xfId="971" xr:uid="{00000000-0005-0000-0000-0000ED000000}"/>
    <cellStyle name="Currency 21" xfId="972" xr:uid="{00000000-0005-0000-0000-0000EE000000}"/>
    <cellStyle name="Currency 22" xfId="977" xr:uid="{00000000-0005-0000-0000-0000EF000000}"/>
    <cellStyle name="Currency 3" xfId="306" xr:uid="{00000000-0005-0000-0000-0000F0000000}"/>
    <cellStyle name="Currency 3 2" xfId="584" xr:uid="{00000000-0005-0000-0000-0000F1000000}"/>
    <cellStyle name="Currency 4" xfId="314" xr:uid="{00000000-0005-0000-0000-0000F2000000}"/>
    <cellStyle name="Currency 5" xfId="321" xr:uid="{00000000-0005-0000-0000-0000F3000000}"/>
    <cellStyle name="Currency 5 2" xfId="588" xr:uid="{00000000-0005-0000-0000-0000F4000000}"/>
    <cellStyle name="Currency 6" xfId="323" xr:uid="{00000000-0005-0000-0000-0000F5000000}"/>
    <cellStyle name="Currency 6 10" xfId="662" xr:uid="{00000000-0005-0000-0000-0000F6000000}"/>
    <cellStyle name="Currency 6 2" xfId="327" xr:uid="{00000000-0005-0000-0000-0000F7000000}"/>
    <cellStyle name="Currency 6 2 2" xfId="340" xr:uid="{00000000-0005-0000-0000-0000F8000000}"/>
    <cellStyle name="Currency 6 2 2 2" xfId="365" xr:uid="{00000000-0005-0000-0000-0000F9000000}"/>
    <cellStyle name="Currency 6 2 2 2 2" xfId="419" xr:uid="{00000000-0005-0000-0000-0000FA000000}"/>
    <cellStyle name="Currency 6 2 2 2 2 2" xfId="522" xr:uid="{00000000-0005-0000-0000-0000FB000000}"/>
    <cellStyle name="Currency 6 2 2 2 2 2 2" xfId="856" xr:uid="{00000000-0005-0000-0000-0000FC000000}"/>
    <cellStyle name="Currency 6 2 2 2 2 3" xfId="753" xr:uid="{00000000-0005-0000-0000-0000FD000000}"/>
    <cellStyle name="Currency 6 2 2 2 3" xfId="470" xr:uid="{00000000-0005-0000-0000-0000FE000000}"/>
    <cellStyle name="Currency 6 2 2 2 3 2" xfId="804" xr:uid="{00000000-0005-0000-0000-0000FF000000}"/>
    <cellStyle name="Currency 6 2 2 2 4" xfId="640" xr:uid="{00000000-0005-0000-0000-000000010000}"/>
    <cellStyle name="Currency 6 2 2 2 4 2" xfId="957" xr:uid="{00000000-0005-0000-0000-000001010000}"/>
    <cellStyle name="Currency 6 2 2 2 5" xfId="701" xr:uid="{00000000-0005-0000-0000-000002010000}"/>
    <cellStyle name="Currency 6 2 2 3" xfId="398" xr:uid="{00000000-0005-0000-0000-000003010000}"/>
    <cellStyle name="Currency 6 2 2 3 2" xfId="501" xr:uid="{00000000-0005-0000-0000-000004010000}"/>
    <cellStyle name="Currency 6 2 2 3 2 2" xfId="835" xr:uid="{00000000-0005-0000-0000-000005010000}"/>
    <cellStyle name="Currency 6 2 2 3 3" xfId="618" xr:uid="{00000000-0005-0000-0000-000006010000}"/>
    <cellStyle name="Currency 6 2 2 3 3 2" xfId="936" xr:uid="{00000000-0005-0000-0000-000007010000}"/>
    <cellStyle name="Currency 6 2 2 3 4" xfId="732" xr:uid="{00000000-0005-0000-0000-000008010000}"/>
    <cellStyle name="Currency 6 2 2 4" xfId="448" xr:uid="{00000000-0005-0000-0000-000009010000}"/>
    <cellStyle name="Currency 6 2 2 4 2" xfId="782" xr:uid="{00000000-0005-0000-0000-00000A010000}"/>
    <cellStyle name="Currency 6 2 2 5" xfId="559" xr:uid="{00000000-0005-0000-0000-00000B010000}"/>
    <cellStyle name="Currency 6 2 2 5 2" xfId="892" xr:uid="{00000000-0005-0000-0000-00000C010000}"/>
    <cellStyle name="Currency 6 2 2 6" xfId="679" xr:uid="{00000000-0005-0000-0000-00000D010000}"/>
    <cellStyle name="Currency 6 2 3" xfId="354" xr:uid="{00000000-0005-0000-0000-00000E010000}"/>
    <cellStyle name="Currency 6 2 3 2" xfId="408" xr:uid="{00000000-0005-0000-0000-00000F010000}"/>
    <cellStyle name="Currency 6 2 3 2 2" xfId="511" xr:uid="{00000000-0005-0000-0000-000010010000}"/>
    <cellStyle name="Currency 6 2 3 2 2 2" xfId="845" xr:uid="{00000000-0005-0000-0000-000011010000}"/>
    <cellStyle name="Currency 6 2 3 2 3" xfId="629" xr:uid="{00000000-0005-0000-0000-000012010000}"/>
    <cellStyle name="Currency 6 2 3 2 3 2" xfId="946" xr:uid="{00000000-0005-0000-0000-000013010000}"/>
    <cellStyle name="Currency 6 2 3 2 4" xfId="742" xr:uid="{00000000-0005-0000-0000-000014010000}"/>
    <cellStyle name="Currency 6 2 3 3" xfId="459" xr:uid="{00000000-0005-0000-0000-000015010000}"/>
    <cellStyle name="Currency 6 2 3 3 2" xfId="793" xr:uid="{00000000-0005-0000-0000-000016010000}"/>
    <cellStyle name="Currency 6 2 3 4" xfId="574" xr:uid="{00000000-0005-0000-0000-000017010000}"/>
    <cellStyle name="Currency 6 2 3 4 2" xfId="908" xr:uid="{00000000-0005-0000-0000-000018010000}"/>
    <cellStyle name="Currency 6 2 3 5" xfId="690" xr:uid="{00000000-0005-0000-0000-000019010000}"/>
    <cellStyle name="Currency 6 2 4" xfId="387" xr:uid="{00000000-0005-0000-0000-00001A010000}"/>
    <cellStyle name="Currency 6 2 4 2" xfId="490" xr:uid="{00000000-0005-0000-0000-00001B010000}"/>
    <cellStyle name="Currency 6 2 4 2 2" xfId="824" xr:uid="{00000000-0005-0000-0000-00001C010000}"/>
    <cellStyle name="Currency 6 2 4 3" xfId="605" xr:uid="{00000000-0005-0000-0000-00001D010000}"/>
    <cellStyle name="Currency 6 2 4 3 2" xfId="925" xr:uid="{00000000-0005-0000-0000-00001E010000}"/>
    <cellStyle name="Currency 6 2 4 4" xfId="721" xr:uid="{00000000-0005-0000-0000-00001F010000}"/>
    <cellStyle name="Currency 6 2 5" xfId="437" xr:uid="{00000000-0005-0000-0000-000020010000}"/>
    <cellStyle name="Currency 6 2 5 2" xfId="771" xr:uid="{00000000-0005-0000-0000-000021010000}"/>
    <cellStyle name="Currency 6 2 6" xfId="540" xr:uid="{00000000-0005-0000-0000-000022010000}"/>
    <cellStyle name="Currency 6 2 6 2" xfId="874" xr:uid="{00000000-0005-0000-0000-000023010000}"/>
    <cellStyle name="Currency 6 2 7" xfId="668" xr:uid="{00000000-0005-0000-0000-000024010000}"/>
    <cellStyle name="Currency 6 3" xfId="335" xr:uid="{00000000-0005-0000-0000-000025010000}"/>
    <cellStyle name="Currency 6 3 2" xfId="359" xr:uid="{00000000-0005-0000-0000-000026010000}"/>
    <cellStyle name="Currency 6 3 2 2" xfId="413" xr:uid="{00000000-0005-0000-0000-000027010000}"/>
    <cellStyle name="Currency 6 3 2 2 2" xfId="516" xr:uid="{00000000-0005-0000-0000-000028010000}"/>
    <cellStyle name="Currency 6 3 2 2 2 2" xfId="850" xr:uid="{00000000-0005-0000-0000-000029010000}"/>
    <cellStyle name="Currency 6 3 2 2 3" xfId="634" xr:uid="{00000000-0005-0000-0000-00002A010000}"/>
    <cellStyle name="Currency 6 3 2 2 3 2" xfId="951" xr:uid="{00000000-0005-0000-0000-00002B010000}"/>
    <cellStyle name="Currency 6 3 2 2 4" xfId="747" xr:uid="{00000000-0005-0000-0000-00002C010000}"/>
    <cellStyle name="Currency 6 3 2 3" xfId="464" xr:uid="{00000000-0005-0000-0000-00002D010000}"/>
    <cellStyle name="Currency 6 3 2 3 2" xfId="798" xr:uid="{00000000-0005-0000-0000-00002E010000}"/>
    <cellStyle name="Currency 6 3 2 4" xfId="564" xr:uid="{00000000-0005-0000-0000-00002F010000}"/>
    <cellStyle name="Currency 6 3 2 4 2" xfId="898" xr:uid="{00000000-0005-0000-0000-000030010000}"/>
    <cellStyle name="Currency 6 3 2 5" xfId="695" xr:uid="{00000000-0005-0000-0000-000031010000}"/>
    <cellStyle name="Currency 6 3 3" xfId="392" xr:uid="{00000000-0005-0000-0000-000032010000}"/>
    <cellStyle name="Currency 6 3 3 2" xfId="495" xr:uid="{00000000-0005-0000-0000-000033010000}"/>
    <cellStyle name="Currency 6 3 3 2 2" xfId="829" xr:uid="{00000000-0005-0000-0000-000034010000}"/>
    <cellStyle name="Currency 6 3 3 3" xfId="580" xr:uid="{00000000-0005-0000-0000-000035010000}"/>
    <cellStyle name="Currency 6 3 3 3 2" xfId="914" xr:uid="{00000000-0005-0000-0000-000036010000}"/>
    <cellStyle name="Currency 6 3 3 4" xfId="726" xr:uid="{00000000-0005-0000-0000-000037010000}"/>
    <cellStyle name="Currency 6 3 4" xfId="442" xr:uid="{00000000-0005-0000-0000-000038010000}"/>
    <cellStyle name="Currency 6 3 4 2" xfId="612" xr:uid="{00000000-0005-0000-0000-000039010000}"/>
    <cellStyle name="Currency 6 3 4 2 2" xfId="930" xr:uid="{00000000-0005-0000-0000-00003A010000}"/>
    <cellStyle name="Currency 6 3 4 3" xfId="776" xr:uid="{00000000-0005-0000-0000-00003B010000}"/>
    <cellStyle name="Currency 6 3 5" xfId="546" xr:uid="{00000000-0005-0000-0000-00003C010000}"/>
    <cellStyle name="Currency 6 3 5 2" xfId="880" xr:uid="{00000000-0005-0000-0000-00003D010000}"/>
    <cellStyle name="Currency 6 3 6" xfId="673" xr:uid="{00000000-0005-0000-0000-00003E010000}"/>
    <cellStyle name="Currency 6 4" xfId="348" xr:uid="{00000000-0005-0000-0000-00003F010000}"/>
    <cellStyle name="Currency 6 4 2" xfId="402" xr:uid="{00000000-0005-0000-0000-000040010000}"/>
    <cellStyle name="Currency 6 4 2 2" xfId="505" xr:uid="{00000000-0005-0000-0000-000041010000}"/>
    <cellStyle name="Currency 6 4 2 2 2" xfId="839" xr:uid="{00000000-0005-0000-0000-000042010000}"/>
    <cellStyle name="Currency 6 4 2 3" xfId="623" xr:uid="{00000000-0005-0000-0000-000043010000}"/>
    <cellStyle name="Currency 6 4 2 3 2" xfId="940" xr:uid="{00000000-0005-0000-0000-000044010000}"/>
    <cellStyle name="Currency 6 4 2 4" xfId="736" xr:uid="{00000000-0005-0000-0000-000045010000}"/>
    <cellStyle name="Currency 6 4 3" xfId="453" xr:uid="{00000000-0005-0000-0000-000046010000}"/>
    <cellStyle name="Currency 6 4 3 2" xfId="787" xr:uid="{00000000-0005-0000-0000-000047010000}"/>
    <cellStyle name="Currency 6 4 4" xfId="553" xr:uid="{00000000-0005-0000-0000-000048010000}"/>
    <cellStyle name="Currency 6 4 4 2" xfId="886" xr:uid="{00000000-0005-0000-0000-000049010000}"/>
    <cellStyle name="Currency 6 4 5" xfId="684" xr:uid="{00000000-0005-0000-0000-00004A010000}"/>
    <cellStyle name="Currency 6 5" xfId="369" xr:uid="{00000000-0005-0000-0000-00004B010000}"/>
    <cellStyle name="Currency 6 5 2" xfId="423" xr:uid="{00000000-0005-0000-0000-00004C010000}"/>
    <cellStyle name="Currency 6 5 2 2" xfId="526" xr:uid="{00000000-0005-0000-0000-00004D010000}"/>
    <cellStyle name="Currency 6 5 2 2 2" xfId="860" xr:uid="{00000000-0005-0000-0000-00004E010000}"/>
    <cellStyle name="Currency 6 5 2 3" xfId="644" xr:uid="{00000000-0005-0000-0000-00004F010000}"/>
    <cellStyle name="Currency 6 5 2 3 2" xfId="961" xr:uid="{00000000-0005-0000-0000-000050010000}"/>
    <cellStyle name="Currency 6 5 2 4" xfId="757" xr:uid="{00000000-0005-0000-0000-000051010000}"/>
    <cellStyle name="Currency 6 5 3" xfId="474" xr:uid="{00000000-0005-0000-0000-000052010000}"/>
    <cellStyle name="Currency 6 5 3 2" xfId="808" xr:uid="{00000000-0005-0000-0000-000053010000}"/>
    <cellStyle name="Currency 6 5 4" xfId="568" xr:uid="{00000000-0005-0000-0000-000054010000}"/>
    <cellStyle name="Currency 6 5 4 2" xfId="902" xr:uid="{00000000-0005-0000-0000-000055010000}"/>
    <cellStyle name="Currency 6 5 5" xfId="705" xr:uid="{00000000-0005-0000-0000-000056010000}"/>
    <cellStyle name="Currency 6 6" xfId="373" xr:uid="{00000000-0005-0000-0000-000057010000}"/>
    <cellStyle name="Currency 6 6 2" xfId="427" xr:uid="{00000000-0005-0000-0000-000058010000}"/>
    <cellStyle name="Currency 6 6 2 2" xfId="530" xr:uid="{00000000-0005-0000-0000-000059010000}"/>
    <cellStyle name="Currency 6 6 2 2 2" xfId="864" xr:uid="{00000000-0005-0000-0000-00005A010000}"/>
    <cellStyle name="Currency 6 6 2 3" xfId="761" xr:uid="{00000000-0005-0000-0000-00005B010000}"/>
    <cellStyle name="Currency 6 6 3" xfId="478" xr:uid="{00000000-0005-0000-0000-00005C010000}"/>
    <cellStyle name="Currency 6 6 3 2" xfId="812" xr:uid="{00000000-0005-0000-0000-00005D010000}"/>
    <cellStyle name="Currency 6 6 4" xfId="648" xr:uid="{00000000-0005-0000-0000-00005E010000}"/>
    <cellStyle name="Currency 6 6 4 2" xfId="965" xr:uid="{00000000-0005-0000-0000-00005F010000}"/>
    <cellStyle name="Currency 6 6 5" xfId="709" xr:uid="{00000000-0005-0000-0000-000060010000}"/>
    <cellStyle name="Currency 6 7" xfId="381" xr:uid="{00000000-0005-0000-0000-000061010000}"/>
    <cellStyle name="Currency 6 7 2" xfId="484" xr:uid="{00000000-0005-0000-0000-000062010000}"/>
    <cellStyle name="Currency 6 7 2 2" xfId="818" xr:uid="{00000000-0005-0000-0000-000063010000}"/>
    <cellStyle name="Currency 6 7 3" xfId="599" xr:uid="{00000000-0005-0000-0000-000064010000}"/>
    <cellStyle name="Currency 6 7 3 2" xfId="919" xr:uid="{00000000-0005-0000-0000-000065010000}"/>
    <cellStyle name="Currency 6 7 4" xfId="715" xr:uid="{00000000-0005-0000-0000-000066010000}"/>
    <cellStyle name="Currency 6 8" xfId="431" xr:uid="{00000000-0005-0000-0000-000067010000}"/>
    <cellStyle name="Currency 6 8 2" xfId="765" xr:uid="{00000000-0005-0000-0000-000068010000}"/>
    <cellStyle name="Currency 6 9" xfId="534" xr:uid="{00000000-0005-0000-0000-000069010000}"/>
    <cellStyle name="Currency 6 9 2" xfId="868" xr:uid="{00000000-0005-0000-0000-00006A010000}"/>
    <cellStyle name="Currency 7" xfId="324" xr:uid="{00000000-0005-0000-0000-00006B010000}"/>
    <cellStyle name="Currency 7 2" xfId="336" xr:uid="{00000000-0005-0000-0000-00006C010000}"/>
    <cellStyle name="Currency 7 2 2" xfId="361" xr:uid="{00000000-0005-0000-0000-00006D010000}"/>
    <cellStyle name="Currency 7 2 2 2" xfId="415" xr:uid="{00000000-0005-0000-0000-00006E010000}"/>
    <cellStyle name="Currency 7 2 2 2 2" xfId="518" xr:uid="{00000000-0005-0000-0000-00006F010000}"/>
    <cellStyle name="Currency 7 2 2 2 2 2" xfId="852" xr:uid="{00000000-0005-0000-0000-000070010000}"/>
    <cellStyle name="Currency 7 2 2 2 3" xfId="749" xr:uid="{00000000-0005-0000-0000-000071010000}"/>
    <cellStyle name="Currency 7 2 2 3" xfId="466" xr:uid="{00000000-0005-0000-0000-000072010000}"/>
    <cellStyle name="Currency 7 2 2 3 2" xfId="800" xr:uid="{00000000-0005-0000-0000-000073010000}"/>
    <cellStyle name="Currency 7 2 2 4" xfId="636" xr:uid="{00000000-0005-0000-0000-000074010000}"/>
    <cellStyle name="Currency 7 2 2 4 2" xfId="953" xr:uid="{00000000-0005-0000-0000-000075010000}"/>
    <cellStyle name="Currency 7 2 2 5" xfId="697" xr:uid="{00000000-0005-0000-0000-000076010000}"/>
    <cellStyle name="Currency 7 2 3" xfId="394" xr:uid="{00000000-0005-0000-0000-000077010000}"/>
    <cellStyle name="Currency 7 2 3 2" xfId="497" xr:uid="{00000000-0005-0000-0000-000078010000}"/>
    <cellStyle name="Currency 7 2 3 2 2" xfId="831" xr:uid="{00000000-0005-0000-0000-000079010000}"/>
    <cellStyle name="Currency 7 2 3 3" xfId="614" xr:uid="{00000000-0005-0000-0000-00007A010000}"/>
    <cellStyle name="Currency 7 2 3 3 2" xfId="932" xr:uid="{00000000-0005-0000-0000-00007B010000}"/>
    <cellStyle name="Currency 7 2 3 4" xfId="728" xr:uid="{00000000-0005-0000-0000-00007C010000}"/>
    <cellStyle name="Currency 7 2 4" xfId="444" xr:uid="{00000000-0005-0000-0000-00007D010000}"/>
    <cellStyle name="Currency 7 2 4 2" xfId="778" xr:uid="{00000000-0005-0000-0000-00007E010000}"/>
    <cellStyle name="Currency 7 2 5" xfId="555" xr:uid="{00000000-0005-0000-0000-00007F010000}"/>
    <cellStyle name="Currency 7 2 5 2" xfId="888" xr:uid="{00000000-0005-0000-0000-000080010000}"/>
    <cellStyle name="Currency 7 2 6" xfId="675" xr:uid="{00000000-0005-0000-0000-000081010000}"/>
    <cellStyle name="Currency 7 3" xfId="350" xr:uid="{00000000-0005-0000-0000-000082010000}"/>
    <cellStyle name="Currency 7 3 2" xfId="404" xr:uid="{00000000-0005-0000-0000-000083010000}"/>
    <cellStyle name="Currency 7 3 2 2" xfId="507" xr:uid="{00000000-0005-0000-0000-000084010000}"/>
    <cellStyle name="Currency 7 3 2 2 2" xfId="841" xr:uid="{00000000-0005-0000-0000-000085010000}"/>
    <cellStyle name="Currency 7 3 2 3" xfId="625" xr:uid="{00000000-0005-0000-0000-000086010000}"/>
    <cellStyle name="Currency 7 3 2 3 2" xfId="942" xr:uid="{00000000-0005-0000-0000-000087010000}"/>
    <cellStyle name="Currency 7 3 2 4" xfId="738" xr:uid="{00000000-0005-0000-0000-000088010000}"/>
    <cellStyle name="Currency 7 3 3" xfId="455" xr:uid="{00000000-0005-0000-0000-000089010000}"/>
    <cellStyle name="Currency 7 3 3 2" xfId="789" xr:uid="{00000000-0005-0000-0000-00008A010000}"/>
    <cellStyle name="Currency 7 3 4" xfId="570" xr:uid="{00000000-0005-0000-0000-00008B010000}"/>
    <cellStyle name="Currency 7 3 4 2" xfId="904" xr:uid="{00000000-0005-0000-0000-00008C010000}"/>
    <cellStyle name="Currency 7 3 5" xfId="686" xr:uid="{00000000-0005-0000-0000-00008D010000}"/>
    <cellStyle name="Currency 7 4" xfId="383" xr:uid="{00000000-0005-0000-0000-00008E010000}"/>
    <cellStyle name="Currency 7 4 2" xfId="486" xr:uid="{00000000-0005-0000-0000-00008F010000}"/>
    <cellStyle name="Currency 7 4 2 2" xfId="820" xr:uid="{00000000-0005-0000-0000-000090010000}"/>
    <cellStyle name="Currency 7 4 3" xfId="601" xr:uid="{00000000-0005-0000-0000-000091010000}"/>
    <cellStyle name="Currency 7 4 3 2" xfId="921" xr:uid="{00000000-0005-0000-0000-000092010000}"/>
    <cellStyle name="Currency 7 4 4" xfId="717" xr:uid="{00000000-0005-0000-0000-000093010000}"/>
    <cellStyle name="Currency 7 5" xfId="433" xr:uid="{00000000-0005-0000-0000-000094010000}"/>
    <cellStyle name="Currency 7 5 2" xfId="767" xr:uid="{00000000-0005-0000-0000-000095010000}"/>
    <cellStyle name="Currency 7 6" xfId="536" xr:uid="{00000000-0005-0000-0000-000096010000}"/>
    <cellStyle name="Currency 7 6 2" xfId="870" xr:uid="{00000000-0005-0000-0000-000097010000}"/>
    <cellStyle name="Currency 7 7" xfId="664" xr:uid="{00000000-0005-0000-0000-000098010000}"/>
    <cellStyle name="Currency 8" xfId="330" xr:uid="{00000000-0005-0000-0000-000099010000}"/>
    <cellStyle name="Currency 8 2" xfId="560" xr:uid="{00000000-0005-0000-0000-00009A010000}"/>
    <cellStyle name="Currency 8 2 2" xfId="894" xr:uid="{00000000-0005-0000-0000-00009B010000}"/>
    <cellStyle name="Currency 8 3" xfId="576" xr:uid="{00000000-0005-0000-0000-00009C010000}"/>
    <cellStyle name="Currency 8 3 2" xfId="910" xr:uid="{00000000-0005-0000-0000-00009D010000}"/>
    <cellStyle name="Currency 8 4" xfId="608" xr:uid="{00000000-0005-0000-0000-00009E010000}"/>
    <cellStyle name="Currency 8 5" xfId="542" xr:uid="{00000000-0005-0000-0000-00009F010000}"/>
    <cellStyle name="Currency 8 5 2" xfId="876" xr:uid="{00000000-0005-0000-0000-0000A0010000}"/>
    <cellStyle name="Currency 9" xfId="343" xr:uid="{00000000-0005-0000-0000-0000A1010000}"/>
    <cellStyle name="Explanatory Text" xfId="17" builtinId="53" customBuiltin="1"/>
    <cellStyle name="Explanatory Text 2" xfId="288" xr:uid="{00000000-0005-0000-0000-0000A3010000}"/>
    <cellStyle name="Explanatory Text 3" xfId="225" xr:uid="{00000000-0005-0000-0000-0000A4010000}"/>
    <cellStyle name="Followed Hyperlink" xfId="980" builtinId="9" customBuiltin="1"/>
    <cellStyle name="Good" xfId="8" builtinId="26" customBuiltin="1"/>
    <cellStyle name="Good 2" xfId="289" xr:uid="{00000000-0005-0000-0000-0000A6010000}"/>
    <cellStyle name="Good 3" xfId="216" xr:uid="{00000000-0005-0000-0000-0000A7010000}"/>
    <cellStyle name="Heading 1" xfId="4" builtinId="16" customBuiltin="1"/>
    <cellStyle name="Heading 1 2" xfId="290" xr:uid="{00000000-0005-0000-0000-0000A9010000}"/>
    <cellStyle name="Heading 1 3" xfId="212" xr:uid="{00000000-0005-0000-0000-0000AA010000}"/>
    <cellStyle name="Heading 2" xfId="5" builtinId="17" customBuiltin="1"/>
    <cellStyle name="Heading 2 2" xfId="291" xr:uid="{00000000-0005-0000-0000-0000AC010000}"/>
    <cellStyle name="Heading 2 3" xfId="213" xr:uid="{00000000-0005-0000-0000-0000AD010000}"/>
    <cellStyle name="Heading 3" xfId="6" builtinId="18" customBuiltin="1"/>
    <cellStyle name="Heading 3 2" xfId="292" xr:uid="{00000000-0005-0000-0000-0000AF010000}"/>
    <cellStyle name="Heading 3 3" xfId="214" xr:uid="{00000000-0005-0000-0000-0000B0010000}"/>
    <cellStyle name="Heading 4" xfId="7" builtinId="19" customBuiltin="1"/>
    <cellStyle name="Heading 4 2" xfId="293" xr:uid="{00000000-0005-0000-0000-0000B2010000}"/>
    <cellStyle name="Heading 4 3" xfId="215" xr:uid="{00000000-0005-0000-0000-0000B3010000}"/>
    <cellStyle name="Hyperlink" xfId="2" builtinId="8" customBuiltin="1"/>
    <cellStyle name="Hyperlink 2" xfId="47" xr:uid="{00000000-0005-0000-0000-0000B5010000}"/>
    <cellStyle name="Hyperlink 3" xfId="45" xr:uid="{00000000-0005-0000-0000-0000B6010000}"/>
    <cellStyle name="Input" xfId="11" builtinId="20" customBuiltin="1"/>
    <cellStyle name="Input 2" xfId="294" xr:uid="{00000000-0005-0000-0000-0000B8010000}"/>
    <cellStyle name="Input 3" xfId="219" xr:uid="{00000000-0005-0000-0000-0000B9010000}"/>
    <cellStyle name="Linked Cell" xfId="14" builtinId="24" customBuiltin="1"/>
    <cellStyle name="Linked Cell 2" xfId="295" xr:uid="{00000000-0005-0000-0000-0000BB010000}"/>
    <cellStyle name="Linked Cell 3" xfId="222" xr:uid="{00000000-0005-0000-0000-0000BC010000}"/>
    <cellStyle name="Neutral" xfId="10" builtinId="28" customBuiltin="1"/>
    <cellStyle name="Neutral 2" xfId="296" xr:uid="{00000000-0005-0000-0000-0000BE010000}"/>
    <cellStyle name="Neutral 3" xfId="218" xr:uid="{00000000-0005-0000-0000-0000BF010000}"/>
    <cellStyle name="Normal" xfId="0" builtinId="0" customBuiltin="1"/>
    <cellStyle name="Normal 10" xfId="43" xr:uid="{00000000-0005-0000-0000-0000C1010000}"/>
    <cellStyle name="Normal 10 2" xfId="355" xr:uid="{00000000-0005-0000-0000-0000C2010000}"/>
    <cellStyle name="Normal 10 2 2" xfId="409" xr:uid="{00000000-0005-0000-0000-0000C3010000}"/>
    <cellStyle name="Normal 10 2 2 2" xfId="512" xr:uid="{00000000-0005-0000-0000-0000C4010000}"/>
    <cellStyle name="Normal 10 2 2 2 2" xfId="846" xr:uid="{00000000-0005-0000-0000-0000C5010000}"/>
    <cellStyle name="Normal 10 2 2 3" xfId="743" xr:uid="{00000000-0005-0000-0000-0000C6010000}"/>
    <cellStyle name="Normal 10 2 3" xfId="460" xr:uid="{00000000-0005-0000-0000-0000C7010000}"/>
    <cellStyle name="Normal 10 2 3 2" xfId="794" xr:uid="{00000000-0005-0000-0000-0000C8010000}"/>
    <cellStyle name="Normal 10 2 4" xfId="630" xr:uid="{00000000-0005-0000-0000-0000C9010000}"/>
    <cellStyle name="Normal 10 2 4 2" xfId="947" xr:uid="{00000000-0005-0000-0000-0000CA010000}"/>
    <cellStyle name="Normal 10 2 5" xfId="691" xr:uid="{00000000-0005-0000-0000-0000CB010000}"/>
    <cellStyle name="Normal 10 3" xfId="388" xr:uid="{00000000-0005-0000-0000-0000CC010000}"/>
    <cellStyle name="Normal 10 3 2" xfId="491" xr:uid="{00000000-0005-0000-0000-0000CD010000}"/>
    <cellStyle name="Normal 10 3 2 2" xfId="825" xr:uid="{00000000-0005-0000-0000-0000CE010000}"/>
    <cellStyle name="Normal 10 3 3" xfId="606" xr:uid="{00000000-0005-0000-0000-0000CF010000}"/>
    <cellStyle name="Normal 10 3 3 2" xfId="926" xr:uid="{00000000-0005-0000-0000-0000D0010000}"/>
    <cellStyle name="Normal 10 3 4" xfId="722" xr:uid="{00000000-0005-0000-0000-0000D1010000}"/>
    <cellStyle name="Normal 10 4" xfId="438" xr:uid="{00000000-0005-0000-0000-0000D2010000}"/>
    <cellStyle name="Normal 10 4 2" xfId="772" xr:uid="{00000000-0005-0000-0000-0000D3010000}"/>
    <cellStyle name="Normal 10 5" xfId="549" xr:uid="{00000000-0005-0000-0000-0000D4010000}"/>
    <cellStyle name="Normal 10 6" xfId="669" xr:uid="{00000000-0005-0000-0000-0000D5010000}"/>
    <cellStyle name="Normal 10 7" xfId="328" xr:uid="{00000000-0005-0000-0000-0000D6010000}"/>
    <cellStyle name="Normal 11" xfId="342" xr:uid="{00000000-0005-0000-0000-0000D7010000}"/>
    <cellStyle name="Normal 11 2" xfId="619" xr:uid="{00000000-0005-0000-0000-0000D8010000}"/>
    <cellStyle name="Normal 11 3" xfId="547" xr:uid="{00000000-0005-0000-0000-0000D9010000}"/>
    <cellStyle name="Normal 11 3 2" xfId="881" xr:uid="{00000000-0005-0000-0000-0000DA010000}"/>
    <cellStyle name="Normal 12" xfId="341" xr:uid="{00000000-0005-0000-0000-0000DB010000}"/>
    <cellStyle name="Normal 12 2" xfId="376" xr:uid="{00000000-0005-0000-0000-0000DC010000}"/>
    <cellStyle name="Normal 12 2 2" xfId="481" xr:uid="{00000000-0005-0000-0000-0000DD010000}"/>
    <cellStyle name="Normal 12 2 2 2" xfId="815" xr:uid="{00000000-0005-0000-0000-0000DE010000}"/>
    <cellStyle name="Normal 12 2 3" xfId="712" xr:uid="{00000000-0005-0000-0000-0000DF010000}"/>
    <cellStyle name="Normal 12 3" xfId="449" xr:uid="{00000000-0005-0000-0000-0000E0010000}"/>
    <cellStyle name="Normal 12 3 2" xfId="783" xr:uid="{00000000-0005-0000-0000-0000E1010000}"/>
    <cellStyle name="Normal 12 4" xfId="581" xr:uid="{00000000-0005-0000-0000-0000E2010000}"/>
    <cellStyle name="Normal 12 4 2" xfId="915" xr:uid="{00000000-0005-0000-0000-0000E3010000}"/>
    <cellStyle name="Normal 12 5" xfId="680" xr:uid="{00000000-0005-0000-0000-0000E4010000}"/>
    <cellStyle name="Normal 13" xfId="374" xr:uid="{00000000-0005-0000-0000-0000E5010000}"/>
    <cellStyle name="Normal 13 2" xfId="479" xr:uid="{00000000-0005-0000-0000-0000E6010000}"/>
    <cellStyle name="Normal 13 2 2" xfId="813" xr:uid="{00000000-0005-0000-0000-0000E7010000}"/>
    <cellStyle name="Normal 13 3" xfId="710" xr:uid="{00000000-0005-0000-0000-0000E8010000}"/>
    <cellStyle name="Normal 14" xfId="304" xr:uid="{00000000-0005-0000-0000-0000E9010000}"/>
    <cellStyle name="Normal 15" xfId="303" xr:uid="{00000000-0005-0000-0000-0000EA010000}"/>
    <cellStyle name="Normal 15 2" xfId="658" xr:uid="{00000000-0005-0000-0000-0000EB010000}"/>
    <cellStyle name="Normal 16" xfId="655" xr:uid="{00000000-0005-0000-0000-0000EC010000}"/>
    <cellStyle name="Normal 17" xfId="654" xr:uid="{00000000-0005-0000-0000-0000ED010000}"/>
    <cellStyle name="Normal 18" xfId="210" xr:uid="{00000000-0005-0000-0000-0000EE010000}"/>
    <cellStyle name="Normal 19" xfId="976" xr:uid="{00000000-0005-0000-0000-0000EF010000}"/>
    <cellStyle name="Normal 2" xfId="44" xr:uid="{00000000-0005-0000-0000-0000F0010000}"/>
    <cellStyle name="Normal 2 2" xfId="48" xr:uid="{00000000-0005-0000-0000-0000F1010000}"/>
    <cellStyle name="Normal 2 2 2" xfId="135" xr:uid="{00000000-0005-0000-0000-0000F2010000}"/>
    <cellStyle name="Normal 2 2 2 2" xfId="319" xr:uid="{00000000-0005-0000-0000-0000F3010000}"/>
    <cellStyle name="Normal 2 2 3" xfId="315" xr:uid="{00000000-0005-0000-0000-0000F4010000}"/>
    <cellStyle name="Normal 2 2 4" xfId="253" xr:uid="{00000000-0005-0000-0000-0000F5010000}"/>
    <cellStyle name="Normal 2 3" xfId="209" xr:uid="{00000000-0005-0000-0000-0000F6010000}"/>
    <cellStyle name="Normal 2 3 2" xfId="310" xr:uid="{00000000-0005-0000-0000-0000F7010000}"/>
    <cellStyle name="Normal 2 3 3" xfId="592" xr:uid="{00000000-0005-0000-0000-0000F8010000}"/>
    <cellStyle name="Normal 2 3 4" xfId="589" xr:uid="{00000000-0005-0000-0000-0000F9010000}"/>
    <cellStyle name="Normal 2 3 5" xfId="255" xr:uid="{00000000-0005-0000-0000-0000FA010000}"/>
    <cellStyle name="Normal 2 4" xfId="317" xr:uid="{00000000-0005-0000-0000-0000FB010000}"/>
    <cellStyle name="Normal 2 4 2" xfId="591" xr:uid="{00000000-0005-0000-0000-0000FC010000}"/>
    <cellStyle name="Normal 2 5" xfId="252" xr:uid="{00000000-0005-0000-0000-0000FD010000}"/>
    <cellStyle name="Normal 3" xfId="50" xr:uid="{00000000-0005-0000-0000-0000FE010000}"/>
    <cellStyle name="Normal 3 2" xfId="137" xr:uid="{00000000-0005-0000-0000-0000FF010000}"/>
    <cellStyle name="Normal 3 2 2" xfId="594" xr:uid="{00000000-0005-0000-0000-000000020000}"/>
    <cellStyle name="Normal 3 2 3" xfId="318" xr:uid="{00000000-0005-0000-0000-000001020000}"/>
    <cellStyle name="Normal 3 3" xfId="649" xr:uid="{00000000-0005-0000-0000-000002020000}"/>
    <cellStyle name="Normal 3 4" xfId="311" xr:uid="{00000000-0005-0000-0000-000003020000}"/>
    <cellStyle name="Normal 3 5" xfId="256" xr:uid="{00000000-0005-0000-0000-000004020000}"/>
    <cellStyle name="Normal 3 6" xfId="975" xr:uid="{00000000-0005-0000-0000-000005020000}"/>
    <cellStyle name="Normal 3 7" xfId="978" xr:uid="{00000000-0005-0000-0000-000006020000}"/>
    <cellStyle name="Normal 4" xfId="46" xr:uid="{00000000-0005-0000-0000-000007020000}"/>
    <cellStyle name="Normal 4 2" xfId="134" xr:uid="{00000000-0005-0000-0000-000008020000}"/>
    <cellStyle name="Normal 4 3" xfId="974" xr:uid="{00000000-0005-0000-0000-000009020000}"/>
    <cellStyle name="Normal 4 4" xfId="973" xr:uid="{00000000-0005-0000-0000-00000A020000}"/>
    <cellStyle name="Normal 5" xfId="64" xr:uid="{00000000-0005-0000-0000-00000B020000}"/>
    <cellStyle name="Normal 5 10" xfId="531" xr:uid="{00000000-0005-0000-0000-00000C020000}"/>
    <cellStyle name="Normal 5 10 2" xfId="865" xr:uid="{00000000-0005-0000-0000-00000D020000}"/>
    <cellStyle name="Normal 5 11" xfId="659" xr:uid="{00000000-0005-0000-0000-00000E020000}"/>
    <cellStyle name="Normal 5 2" xfId="151" xr:uid="{00000000-0005-0000-0000-00000F020000}"/>
    <cellStyle name="Normal 5 2 10" xfId="661" xr:uid="{00000000-0005-0000-0000-000010020000}"/>
    <cellStyle name="Normal 5 2 2" xfId="326" xr:uid="{00000000-0005-0000-0000-000011020000}"/>
    <cellStyle name="Normal 5 2 2 2" xfId="339" xr:uid="{00000000-0005-0000-0000-000012020000}"/>
    <cellStyle name="Normal 5 2 2 2 2" xfId="364" xr:uid="{00000000-0005-0000-0000-000013020000}"/>
    <cellStyle name="Normal 5 2 2 2 2 2" xfId="418" xr:uid="{00000000-0005-0000-0000-000014020000}"/>
    <cellStyle name="Normal 5 2 2 2 2 2 2" xfId="521" xr:uid="{00000000-0005-0000-0000-000015020000}"/>
    <cellStyle name="Normal 5 2 2 2 2 2 2 2" xfId="855" xr:uid="{00000000-0005-0000-0000-000016020000}"/>
    <cellStyle name="Normal 5 2 2 2 2 2 3" xfId="752" xr:uid="{00000000-0005-0000-0000-000017020000}"/>
    <cellStyle name="Normal 5 2 2 2 2 3" xfId="469" xr:uid="{00000000-0005-0000-0000-000018020000}"/>
    <cellStyle name="Normal 5 2 2 2 2 3 2" xfId="803" xr:uid="{00000000-0005-0000-0000-000019020000}"/>
    <cellStyle name="Normal 5 2 2 2 2 4" xfId="639" xr:uid="{00000000-0005-0000-0000-00001A020000}"/>
    <cellStyle name="Normal 5 2 2 2 2 4 2" xfId="956" xr:uid="{00000000-0005-0000-0000-00001B020000}"/>
    <cellStyle name="Normal 5 2 2 2 2 5" xfId="700" xr:uid="{00000000-0005-0000-0000-00001C020000}"/>
    <cellStyle name="Normal 5 2 2 2 3" xfId="397" xr:uid="{00000000-0005-0000-0000-00001D020000}"/>
    <cellStyle name="Normal 5 2 2 2 3 2" xfId="500" xr:uid="{00000000-0005-0000-0000-00001E020000}"/>
    <cellStyle name="Normal 5 2 2 2 3 2 2" xfId="834" xr:uid="{00000000-0005-0000-0000-00001F020000}"/>
    <cellStyle name="Normal 5 2 2 2 3 3" xfId="617" xr:uid="{00000000-0005-0000-0000-000020020000}"/>
    <cellStyle name="Normal 5 2 2 2 3 3 2" xfId="935" xr:uid="{00000000-0005-0000-0000-000021020000}"/>
    <cellStyle name="Normal 5 2 2 2 3 4" xfId="731" xr:uid="{00000000-0005-0000-0000-000022020000}"/>
    <cellStyle name="Normal 5 2 2 2 4" xfId="447" xr:uid="{00000000-0005-0000-0000-000023020000}"/>
    <cellStyle name="Normal 5 2 2 2 4 2" xfId="781" xr:uid="{00000000-0005-0000-0000-000024020000}"/>
    <cellStyle name="Normal 5 2 2 2 5" xfId="558" xr:uid="{00000000-0005-0000-0000-000025020000}"/>
    <cellStyle name="Normal 5 2 2 2 5 2" xfId="891" xr:uid="{00000000-0005-0000-0000-000026020000}"/>
    <cellStyle name="Normal 5 2 2 2 6" xfId="678" xr:uid="{00000000-0005-0000-0000-000027020000}"/>
    <cellStyle name="Normal 5 2 2 3" xfId="353" xr:uid="{00000000-0005-0000-0000-000028020000}"/>
    <cellStyle name="Normal 5 2 2 3 2" xfId="407" xr:uid="{00000000-0005-0000-0000-000029020000}"/>
    <cellStyle name="Normal 5 2 2 3 2 2" xfId="510" xr:uid="{00000000-0005-0000-0000-00002A020000}"/>
    <cellStyle name="Normal 5 2 2 3 2 2 2" xfId="844" xr:uid="{00000000-0005-0000-0000-00002B020000}"/>
    <cellStyle name="Normal 5 2 2 3 2 3" xfId="628" xr:uid="{00000000-0005-0000-0000-00002C020000}"/>
    <cellStyle name="Normal 5 2 2 3 2 3 2" xfId="945" xr:uid="{00000000-0005-0000-0000-00002D020000}"/>
    <cellStyle name="Normal 5 2 2 3 2 4" xfId="741" xr:uid="{00000000-0005-0000-0000-00002E020000}"/>
    <cellStyle name="Normal 5 2 2 3 3" xfId="458" xr:uid="{00000000-0005-0000-0000-00002F020000}"/>
    <cellStyle name="Normal 5 2 2 3 3 2" xfId="792" xr:uid="{00000000-0005-0000-0000-000030020000}"/>
    <cellStyle name="Normal 5 2 2 3 4" xfId="573" xr:uid="{00000000-0005-0000-0000-000031020000}"/>
    <cellStyle name="Normal 5 2 2 3 4 2" xfId="907" xr:uid="{00000000-0005-0000-0000-000032020000}"/>
    <cellStyle name="Normal 5 2 2 3 5" xfId="689" xr:uid="{00000000-0005-0000-0000-000033020000}"/>
    <cellStyle name="Normal 5 2 2 4" xfId="386" xr:uid="{00000000-0005-0000-0000-000034020000}"/>
    <cellStyle name="Normal 5 2 2 4 2" xfId="489" xr:uid="{00000000-0005-0000-0000-000035020000}"/>
    <cellStyle name="Normal 5 2 2 4 2 2" xfId="823" xr:uid="{00000000-0005-0000-0000-000036020000}"/>
    <cellStyle name="Normal 5 2 2 4 3" xfId="604" xr:uid="{00000000-0005-0000-0000-000037020000}"/>
    <cellStyle name="Normal 5 2 2 4 3 2" xfId="924" xr:uid="{00000000-0005-0000-0000-000038020000}"/>
    <cellStyle name="Normal 5 2 2 4 4" xfId="720" xr:uid="{00000000-0005-0000-0000-000039020000}"/>
    <cellStyle name="Normal 5 2 2 5" xfId="436" xr:uid="{00000000-0005-0000-0000-00003A020000}"/>
    <cellStyle name="Normal 5 2 2 5 2" xfId="770" xr:uid="{00000000-0005-0000-0000-00003B020000}"/>
    <cellStyle name="Normal 5 2 2 6" xfId="539" xr:uid="{00000000-0005-0000-0000-00003C020000}"/>
    <cellStyle name="Normal 5 2 2 6 2" xfId="873" xr:uid="{00000000-0005-0000-0000-00003D020000}"/>
    <cellStyle name="Normal 5 2 2 7" xfId="667" xr:uid="{00000000-0005-0000-0000-00003E020000}"/>
    <cellStyle name="Normal 5 2 3" xfId="334" xr:uid="{00000000-0005-0000-0000-00003F020000}"/>
    <cellStyle name="Normal 5 2 3 2" xfId="358" xr:uid="{00000000-0005-0000-0000-000040020000}"/>
    <cellStyle name="Normal 5 2 3 2 2" xfId="412" xr:uid="{00000000-0005-0000-0000-000041020000}"/>
    <cellStyle name="Normal 5 2 3 2 2 2" xfId="515" xr:uid="{00000000-0005-0000-0000-000042020000}"/>
    <cellStyle name="Normal 5 2 3 2 2 2 2" xfId="849" xr:uid="{00000000-0005-0000-0000-000043020000}"/>
    <cellStyle name="Normal 5 2 3 2 2 3" xfId="633" xr:uid="{00000000-0005-0000-0000-000044020000}"/>
    <cellStyle name="Normal 5 2 3 2 2 3 2" xfId="950" xr:uid="{00000000-0005-0000-0000-000045020000}"/>
    <cellStyle name="Normal 5 2 3 2 2 4" xfId="746" xr:uid="{00000000-0005-0000-0000-000046020000}"/>
    <cellStyle name="Normal 5 2 3 2 3" xfId="463" xr:uid="{00000000-0005-0000-0000-000047020000}"/>
    <cellStyle name="Normal 5 2 3 2 3 2" xfId="797" xr:uid="{00000000-0005-0000-0000-000048020000}"/>
    <cellStyle name="Normal 5 2 3 2 4" xfId="563" xr:uid="{00000000-0005-0000-0000-000049020000}"/>
    <cellStyle name="Normal 5 2 3 2 4 2" xfId="897" xr:uid="{00000000-0005-0000-0000-00004A020000}"/>
    <cellStyle name="Normal 5 2 3 2 5" xfId="694" xr:uid="{00000000-0005-0000-0000-00004B020000}"/>
    <cellStyle name="Normal 5 2 3 3" xfId="391" xr:uid="{00000000-0005-0000-0000-00004C020000}"/>
    <cellStyle name="Normal 5 2 3 3 2" xfId="494" xr:uid="{00000000-0005-0000-0000-00004D020000}"/>
    <cellStyle name="Normal 5 2 3 3 2 2" xfId="828" xr:uid="{00000000-0005-0000-0000-00004E020000}"/>
    <cellStyle name="Normal 5 2 3 3 3" xfId="579" xr:uid="{00000000-0005-0000-0000-00004F020000}"/>
    <cellStyle name="Normal 5 2 3 3 3 2" xfId="913" xr:uid="{00000000-0005-0000-0000-000050020000}"/>
    <cellStyle name="Normal 5 2 3 3 4" xfId="725" xr:uid="{00000000-0005-0000-0000-000051020000}"/>
    <cellStyle name="Normal 5 2 3 4" xfId="441" xr:uid="{00000000-0005-0000-0000-000052020000}"/>
    <cellStyle name="Normal 5 2 3 4 2" xfId="611" xr:uid="{00000000-0005-0000-0000-000053020000}"/>
    <cellStyle name="Normal 5 2 3 4 2 2" xfId="929" xr:uid="{00000000-0005-0000-0000-000054020000}"/>
    <cellStyle name="Normal 5 2 3 4 3" xfId="775" xr:uid="{00000000-0005-0000-0000-000055020000}"/>
    <cellStyle name="Normal 5 2 3 5" xfId="545" xr:uid="{00000000-0005-0000-0000-000056020000}"/>
    <cellStyle name="Normal 5 2 3 5 2" xfId="879" xr:uid="{00000000-0005-0000-0000-000057020000}"/>
    <cellStyle name="Normal 5 2 3 6" xfId="672" xr:uid="{00000000-0005-0000-0000-000058020000}"/>
    <cellStyle name="Normal 5 2 4" xfId="347" xr:uid="{00000000-0005-0000-0000-000059020000}"/>
    <cellStyle name="Normal 5 2 4 2" xfId="401" xr:uid="{00000000-0005-0000-0000-00005A020000}"/>
    <cellStyle name="Normal 5 2 4 2 2" xfId="504" xr:uid="{00000000-0005-0000-0000-00005B020000}"/>
    <cellStyle name="Normal 5 2 4 2 2 2" xfId="838" xr:uid="{00000000-0005-0000-0000-00005C020000}"/>
    <cellStyle name="Normal 5 2 4 2 3" xfId="622" xr:uid="{00000000-0005-0000-0000-00005D020000}"/>
    <cellStyle name="Normal 5 2 4 2 3 2" xfId="939" xr:uid="{00000000-0005-0000-0000-00005E020000}"/>
    <cellStyle name="Normal 5 2 4 2 4" xfId="735" xr:uid="{00000000-0005-0000-0000-00005F020000}"/>
    <cellStyle name="Normal 5 2 4 3" xfId="452" xr:uid="{00000000-0005-0000-0000-000060020000}"/>
    <cellStyle name="Normal 5 2 4 3 2" xfId="786" xr:uid="{00000000-0005-0000-0000-000061020000}"/>
    <cellStyle name="Normal 5 2 4 4" xfId="552" xr:uid="{00000000-0005-0000-0000-000062020000}"/>
    <cellStyle name="Normal 5 2 4 4 2" xfId="885" xr:uid="{00000000-0005-0000-0000-000063020000}"/>
    <cellStyle name="Normal 5 2 4 5" xfId="683" xr:uid="{00000000-0005-0000-0000-000064020000}"/>
    <cellStyle name="Normal 5 2 5" xfId="368" xr:uid="{00000000-0005-0000-0000-000065020000}"/>
    <cellStyle name="Normal 5 2 5 2" xfId="422" xr:uid="{00000000-0005-0000-0000-000066020000}"/>
    <cellStyle name="Normal 5 2 5 2 2" xfId="525" xr:uid="{00000000-0005-0000-0000-000067020000}"/>
    <cellStyle name="Normal 5 2 5 2 2 2" xfId="859" xr:uid="{00000000-0005-0000-0000-000068020000}"/>
    <cellStyle name="Normal 5 2 5 2 3" xfId="643" xr:uid="{00000000-0005-0000-0000-000069020000}"/>
    <cellStyle name="Normal 5 2 5 2 3 2" xfId="960" xr:uid="{00000000-0005-0000-0000-00006A020000}"/>
    <cellStyle name="Normal 5 2 5 2 4" xfId="756" xr:uid="{00000000-0005-0000-0000-00006B020000}"/>
    <cellStyle name="Normal 5 2 5 3" xfId="473" xr:uid="{00000000-0005-0000-0000-00006C020000}"/>
    <cellStyle name="Normal 5 2 5 3 2" xfId="807" xr:uid="{00000000-0005-0000-0000-00006D020000}"/>
    <cellStyle name="Normal 5 2 5 4" xfId="567" xr:uid="{00000000-0005-0000-0000-00006E020000}"/>
    <cellStyle name="Normal 5 2 5 4 2" xfId="901" xr:uid="{00000000-0005-0000-0000-00006F020000}"/>
    <cellStyle name="Normal 5 2 5 5" xfId="704" xr:uid="{00000000-0005-0000-0000-000070020000}"/>
    <cellStyle name="Normal 5 2 6" xfId="372" xr:uid="{00000000-0005-0000-0000-000071020000}"/>
    <cellStyle name="Normal 5 2 6 2" xfId="426" xr:uid="{00000000-0005-0000-0000-000072020000}"/>
    <cellStyle name="Normal 5 2 6 2 2" xfId="529" xr:uid="{00000000-0005-0000-0000-000073020000}"/>
    <cellStyle name="Normal 5 2 6 2 2 2" xfId="863" xr:uid="{00000000-0005-0000-0000-000074020000}"/>
    <cellStyle name="Normal 5 2 6 2 3" xfId="760" xr:uid="{00000000-0005-0000-0000-000075020000}"/>
    <cellStyle name="Normal 5 2 6 3" xfId="477" xr:uid="{00000000-0005-0000-0000-000076020000}"/>
    <cellStyle name="Normal 5 2 6 3 2" xfId="811" xr:uid="{00000000-0005-0000-0000-000077020000}"/>
    <cellStyle name="Normal 5 2 6 4" xfId="647" xr:uid="{00000000-0005-0000-0000-000078020000}"/>
    <cellStyle name="Normal 5 2 6 4 2" xfId="964" xr:uid="{00000000-0005-0000-0000-000079020000}"/>
    <cellStyle name="Normal 5 2 6 5" xfId="708" xr:uid="{00000000-0005-0000-0000-00007A020000}"/>
    <cellStyle name="Normal 5 2 7" xfId="375" xr:uid="{00000000-0005-0000-0000-00007B020000}"/>
    <cellStyle name="Normal 5 2 7 2" xfId="480" xr:uid="{00000000-0005-0000-0000-00007C020000}"/>
    <cellStyle name="Normal 5 2 7 2 2" xfId="814" xr:uid="{00000000-0005-0000-0000-00007D020000}"/>
    <cellStyle name="Normal 5 2 7 3" xfId="598" xr:uid="{00000000-0005-0000-0000-00007E020000}"/>
    <cellStyle name="Normal 5 2 7 3 2" xfId="918" xr:uid="{00000000-0005-0000-0000-00007F020000}"/>
    <cellStyle name="Normal 5 2 7 4" xfId="711" xr:uid="{00000000-0005-0000-0000-000080020000}"/>
    <cellStyle name="Normal 5 2 8" xfId="430" xr:uid="{00000000-0005-0000-0000-000081020000}"/>
    <cellStyle name="Normal 5 2 8 2" xfId="764" xr:uid="{00000000-0005-0000-0000-000082020000}"/>
    <cellStyle name="Normal 5 2 9" xfId="533" xr:uid="{00000000-0005-0000-0000-000083020000}"/>
    <cellStyle name="Normal 5 2 9 2" xfId="867" xr:uid="{00000000-0005-0000-0000-000084020000}"/>
    <cellStyle name="Normal 5 3" xfId="325" xr:uid="{00000000-0005-0000-0000-000085020000}"/>
    <cellStyle name="Normal 5 3 2" xfId="337" xr:uid="{00000000-0005-0000-0000-000086020000}"/>
    <cellStyle name="Normal 5 3 2 2" xfId="362" xr:uid="{00000000-0005-0000-0000-000087020000}"/>
    <cellStyle name="Normal 5 3 2 2 2" xfId="416" xr:uid="{00000000-0005-0000-0000-000088020000}"/>
    <cellStyle name="Normal 5 3 2 2 2 2" xfId="519" xr:uid="{00000000-0005-0000-0000-000089020000}"/>
    <cellStyle name="Normal 5 3 2 2 2 2 2" xfId="853" xr:uid="{00000000-0005-0000-0000-00008A020000}"/>
    <cellStyle name="Normal 5 3 2 2 2 3" xfId="750" xr:uid="{00000000-0005-0000-0000-00008B020000}"/>
    <cellStyle name="Normal 5 3 2 2 3" xfId="467" xr:uid="{00000000-0005-0000-0000-00008C020000}"/>
    <cellStyle name="Normal 5 3 2 2 3 2" xfId="801" xr:uid="{00000000-0005-0000-0000-00008D020000}"/>
    <cellStyle name="Normal 5 3 2 2 4" xfId="637" xr:uid="{00000000-0005-0000-0000-00008E020000}"/>
    <cellStyle name="Normal 5 3 2 2 4 2" xfId="954" xr:uid="{00000000-0005-0000-0000-00008F020000}"/>
    <cellStyle name="Normal 5 3 2 2 5" xfId="698" xr:uid="{00000000-0005-0000-0000-000090020000}"/>
    <cellStyle name="Normal 5 3 2 3" xfId="395" xr:uid="{00000000-0005-0000-0000-000091020000}"/>
    <cellStyle name="Normal 5 3 2 3 2" xfId="498" xr:uid="{00000000-0005-0000-0000-000092020000}"/>
    <cellStyle name="Normal 5 3 2 3 2 2" xfId="832" xr:uid="{00000000-0005-0000-0000-000093020000}"/>
    <cellStyle name="Normal 5 3 2 3 3" xfId="615" xr:uid="{00000000-0005-0000-0000-000094020000}"/>
    <cellStyle name="Normal 5 3 2 3 3 2" xfId="933" xr:uid="{00000000-0005-0000-0000-000095020000}"/>
    <cellStyle name="Normal 5 3 2 3 4" xfId="729" xr:uid="{00000000-0005-0000-0000-000096020000}"/>
    <cellStyle name="Normal 5 3 2 4" xfId="445" xr:uid="{00000000-0005-0000-0000-000097020000}"/>
    <cellStyle name="Normal 5 3 2 4 2" xfId="779" xr:uid="{00000000-0005-0000-0000-000098020000}"/>
    <cellStyle name="Normal 5 3 2 5" xfId="556" xr:uid="{00000000-0005-0000-0000-000099020000}"/>
    <cellStyle name="Normal 5 3 2 5 2" xfId="889" xr:uid="{00000000-0005-0000-0000-00009A020000}"/>
    <cellStyle name="Normal 5 3 2 6" xfId="676" xr:uid="{00000000-0005-0000-0000-00009B020000}"/>
    <cellStyle name="Normal 5 3 3" xfId="351" xr:uid="{00000000-0005-0000-0000-00009C020000}"/>
    <cellStyle name="Normal 5 3 3 2" xfId="405" xr:uid="{00000000-0005-0000-0000-00009D020000}"/>
    <cellStyle name="Normal 5 3 3 2 2" xfId="508" xr:uid="{00000000-0005-0000-0000-00009E020000}"/>
    <cellStyle name="Normal 5 3 3 2 2 2" xfId="842" xr:uid="{00000000-0005-0000-0000-00009F020000}"/>
    <cellStyle name="Normal 5 3 3 2 3" xfId="626" xr:uid="{00000000-0005-0000-0000-0000A0020000}"/>
    <cellStyle name="Normal 5 3 3 2 3 2" xfId="943" xr:uid="{00000000-0005-0000-0000-0000A1020000}"/>
    <cellStyle name="Normal 5 3 3 2 4" xfId="739" xr:uid="{00000000-0005-0000-0000-0000A2020000}"/>
    <cellStyle name="Normal 5 3 3 3" xfId="456" xr:uid="{00000000-0005-0000-0000-0000A3020000}"/>
    <cellStyle name="Normal 5 3 3 3 2" xfId="790" xr:uid="{00000000-0005-0000-0000-0000A4020000}"/>
    <cellStyle name="Normal 5 3 3 4" xfId="571" xr:uid="{00000000-0005-0000-0000-0000A5020000}"/>
    <cellStyle name="Normal 5 3 3 4 2" xfId="905" xr:uid="{00000000-0005-0000-0000-0000A6020000}"/>
    <cellStyle name="Normal 5 3 3 5" xfId="687" xr:uid="{00000000-0005-0000-0000-0000A7020000}"/>
    <cellStyle name="Normal 5 3 4" xfId="384" xr:uid="{00000000-0005-0000-0000-0000A8020000}"/>
    <cellStyle name="Normal 5 3 4 2" xfId="487" xr:uid="{00000000-0005-0000-0000-0000A9020000}"/>
    <cellStyle name="Normal 5 3 4 2 2" xfId="821" xr:uid="{00000000-0005-0000-0000-0000AA020000}"/>
    <cellStyle name="Normal 5 3 4 3" xfId="602" xr:uid="{00000000-0005-0000-0000-0000AB020000}"/>
    <cellStyle name="Normal 5 3 4 3 2" xfId="922" xr:uid="{00000000-0005-0000-0000-0000AC020000}"/>
    <cellStyle name="Normal 5 3 4 4" xfId="718" xr:uid="{00000000-0005-0000-0000-0000AD020000}"/>
    <cellStyle name="Normal 5 3 5" xfId="434" xr:uid="{00000000-0005-0000-0000-0000AE020000}"/>
    <cellStyle name="Normal 5 3 5 2" xfId="768" xr:uid="{00000000-0005-0000-0000-0000AF020000}"/>
    <cellStyle name="Normal 5 3 6" xfId="537" xr:uid="{00000000-0005-0000-0000-0000B0020000}"/>
    <cellStyle name="Normal 5 3 6 2" xfId="871" xr:uid="{00000000-0005-0000-0000-0000B1020000}"/>
    <cellStyle name="Normal 5 3 7" xfId="665" xr:uid="{00000000-0005-0000-0000-0000B2020000}"/>
    <cellStyle name="Normal 5 4" xfId="332" xr:uid="{00000000-0005-0000-0000-0000B3020000}"/>
    <cellStyle name="Normal 5 4 2" xfId="356" xr:uid="{00000000-0005-0000-0000-0000B4020000}"/>
    <cellStyle name="Normal 5 4 2 2" xfId="410" xr:uid="{00000000-0005-0000-0000-0000B5020000}"/>
    <cellStyle name="Normal 5 4 2 2 2" xfId="513" xr:uid="{00000000-0005-0000-0000-0000B6020000}"/>
    <cellStyle name="Normal 5 4 2 2 2 2" xfId="847" xr:uid="{00000000-0005-0000-0000-0000B7020000}"/>
    <cellStyle name="Normal 5 4 2 2 3" xfId="631" xr:uid="{00000000-0005-0000-0000-0000B8020000}"/>
    <cellStyle name="Normal 5 4 2 2 3 2" xfId="948" xr:uid="{00000000-0005-0000-0000-0000B9020000}"/>
    <cellStyle name="Normal 5 4 2 2 4" xfId="744" xr:uid="{00000000-0005-0000-0000-0000BA020000}"/>
    <cellStyle name="Normal 5 4 2 3" xfId="461" xr:uid="{00000000-0005-0000-0000-0000BB020000}"/>
    <cellStyle name="Normal 5 4 2 3 2" xfId="795" xr:uid="{00000000-0005-0000-0000-0000BC020000}"/>
    <cellStyle name="Normal 5 4 2 4" xfId="561" xr:uid="{00000000-0005-0000-0000-0000BD020000}"/>
    <cellStyle name="Normal 5 4 2 4 2" xfId="895" xr:uid="{00000000-0005-0000-0000-0000BE020000}"/>
    <cellStyle name="Normal 5 4 2 5" xfId="692" xr:uid="{00000000-0005-0000-0000-0000BF020000}"/>
    <cellStyle name="Normal 5 4 3" xfId="389" xr:uid="{00000000-0005-0000-0000-0000C0020000}"/>
    <cellStyle name="Normal 5 4 3 2" xfId="492" xr:uid="{00000000-0005-0000-0000-0000C1020000}"/>
    <cellStyle name="Normal 5 4 3 2 2" xfId="826" xr:uid="{00000000-0005-0000-0000-0000C2020000}"/>
    <cellStyle name="Normal 5 4 3 3" xfId="577" xr:uid="{00000000-0005-0000-0000-0000C3020000}"/>
    <cellStyle name="Normal 5 4 3 3 2" xfId="911" xr:uid="{00000000-0005-0000-0000-0000C4020000}"/>
    <cellStyle name="Normal 5 4 3 4" xfId="723" xr:uid="{00000000-0005-0000-0000-0000C5020000}"/>
    <cellStyle name="Normal 5 4 4" xfId="439" xr:uid="{00000000-0005-0000-0000-0000C6020000}"/>
    <cellStyle name="Normal 5 4 4 2" xfId="609" xr:uid="{00000000-0005-0000-0000-0000C7020000}"/>
    <cellStyle name="Normal 5 4 4 2 2" xfId="927" xr:uid="{00000000-0005-0000-0000-0000C8020000}"/>
    <cellStyle name="Normal 5 4 4 3" xfId="773" xr:uid="{00000000-0005-0000-0000-0000C9020000}"/>
    <cellStyle name="Normal 5 4 5" xfId="543" xr:uid="{00000000-0005-0000-0000-0000CA020000}"/>
    <cellStyle name="Normal 5 4 5 2" xfId="877" xr:uid="{00000000-0005-0000-0000-0000CB020000}"/>
    <cellStyle name="Normal 5 4 6" xfId="670" xr:uid="{00000000-0005-0000-0000-0000CC020000}"/>
    <cellStyle name="Normal 5 5" xfId="345" xr:uid="{00000000-0005-0000-0000-0000CD020000}"/>
    <cellStyle name="Normal 5 5 2" xfId="399" xr:uid="{00000000-0005-0000-0000-0000CE020000}"/>
    <cellStyle name="Normal 5 5 2 2" xfId="502" xr:uid="{00000000-0005-0000-0000-0000CF020000}"/>
    <cellStyle name="Normal 5 5 2 2 2" xfId="836" xr:uid="{00000000-0005-0000-0000-0000D0020000}"/>
    <cellStyle name="Normal 5 5 2 3" xfId="620" xr:uid="{00000000-0005-0000-0000-0000D1020000}"/>
    <cellStyle name="Normal 5 5 2 3 2" xfId="937" xr:uid="{00000000-0005-0000-0000-0000D2020000}"/>
    <cellStyle name="Normal 5 5 2 4" xfId="733" xr:uid="{00000000-0005-0000-0000-0000D3020000}"/>
    <cellStyle name="Normal 5 5 3" xfId="450" xr:uid="{00000000-0005-0000-0000-0000D4020000}"/>
    <cellStyle name="Normal 5 5 3 2" xfId="784" xr:uid="{00000000-0005-0000-0000-0000D5020000}"/>
    <cellStyle name="Normal 5 5 4" xfId="550" xr:uid="{00000000-0005-0000-0000-0000D6020000}"/>
    <cellStyle name="Normal 5 5 4 2" xfId="883" xr:uid="{00000000-0005-0000-0000-0000D7020000}"/>
    <cellStyle name="Normal 5 5 5" xfId="681" xr:uid="{00000000-0005-0000-0000-0000D8020000}"/>
    <cellStyle name="Normal 5 6" xfId="366" xr:uid="{00000000-0005-0000-0000-0000D9020000}"/>
    <cellStyle name="Normal 5 6 2" xfId="420" xr:uid="{00000000-0005-0000-0000-0000DA020000}"/>
    <cellStyle name="Normal 5 6 2 2" xfId="523" xr:uid="{00000000-0005-0000-0000-0000DB020000}"/>
    <cellStyle name="Normal 5 6 2 2 2" xfId="857" xr:uid="{00000000-0005-0000-0000-0000DC020000}"/>
    <cellStyle name="Normal 5 6 2 3" xfId="641" xr:uid="{00000000-0005-0000-0000-0000DD020000}"/>
    <cellStyle name="Normal 5 6 2 3 2" xfId="958" xr:uid="{00000000-0005-0000-0000-0000DE020000}"/>
    <cellStyle name="Normal 5 6 2 4" xfId="754" xr:uid="{00000000-0005-0000-0000-0000DF020000}"/>
    <cellStyle name="Normal 5 6 3" xfId="471" xr:uid="{00000000-0005-0000-0000-0000E0020000}"/>
    <cellStyle name="Normal 5 6 3 2" xfId="805" xr:uid="{00000000-0005-0000-0000-0000E1020000}"/>
    <cellStyle name="Normal 5 6 4" xfId="565" xr:uid="{00000000-0005-0000-0000-0000E2020000}"/>
    <cellStyle name="Normal 5 6 4 2" xfId="899" xr:uid="{00000000-0005-0000-0000-0000E3020000}"/>
    <cellStyle name="Normal 5 6 5" xfId="702" xr:uid="{00000000-0005-0000-0000-0000E4020000}"/>
    <cellStyle name="Normal 5 7" xfId="370" xr:uid="{00000000-0005-0000-0000-0000E5020000}"/>
    <cellStyle name="Normal 5 7 2" xfId="424" xr:uid="{00000000-0005-0000-0000-0000E6020000}"/>
    <cellStyle name="Normal 5 7 2 2" xfId="527" xr:uid="{00000000-0005-0000-0000-0000E7020000}"/>
    <cellStyle name="Normal 5 7 2 2 2" xfId="861" xr:uid="{00000000-0005-0000-0000-0000E8020000}"/>
    <cellStyle name="Normal 5 7 2 3" xfId="645" xr:uid="{00000000-0005-0000-0000-0000E9020000}"/>
    <cellStyle name="Normal 5 7 2 3 2" xfId="962" xr:uid="{00000000-0005-0000-0000-0000EA020000}"/>
    <cellStyle name="Normal 5 7 2 4" xfId="758" xr:uid="{00000000-0005-0000-0000-0000EB020000}"/>
    <cellStyle name="Normal 5 7 3" xfId="475" xr:uid="{00000000-0005-0000-0000-0000EC020000}"/>
    <cellStyle name="Normal 5 7 3 2" xfId="809" xr:uid="{00000000-0005-0000-0000-0000ED020000}"/>
    <cellStyle name="Normal 5 7 4" xfId="590" xr:uid="{00000000-0005-0000-0000-0000EE020000}"/>
    <cellStyle name="Normal 5 7 5" xfId="706" xr:uid="{00000000-0005-0000-0000-0000EF020000}"/>
    <cellStyle name="Normal 5 8" xfId="379" xr:uid="{00000000-0005-0000-0000-0000F0020000}"/>
    <cellStyle name="Normal 5 8 2" xfId="482" xr:uid="{00000000-0005-0000-0000-0000F1020000}"/>
    <cellStyle name="Normal 5 8 2 2" xfId="816" xr:uid="{00000000-0005-0000-0000-0000F2020000}"/>
    <cellStyle name="Normal 5 8 3" xfId="596" xr:uid="{00000000-0005-0000-0000-0000F3020000}"/>
    <cellStyle name="Normal 5 8 3 2" xfId="916" xr:uid="{00000000-0005-0000-0000-0000F4020000}"/>
    <cellStyle name="Normal 5 8 4" xfId="713" xr:uid="{00000000-0005-0000-0000-0000F5020000}"/>
    <cellStyle name="Normal 5 9" xfId="428" xr:uid="{00000000-0005-0000-0000-0000F6020000}"/>
    <cellStyle name="Normal 5 9 2" xfId="762" xr:uid="{00000000-0005-0000-0000-0000F7020000}"/>
    <cellStyle name="Normal 6" xfId="79" xr:uid="{00000000-0005-0000-0000-0000F8020000}"/>
    <cellStyle name="Normal 6 2" xfId="165" xr:uid="{00000000-0005-0000-0000-0000F9020000}"/>
    <cellStyle name="Normal 6 2 2" xfId="587" xr:uid="{00000000-0005-0000-0000-0000FA020000}"/>
    <cellStyle name="Normal 6 3" xfId="320" xr:uid="{00000000-0005-0000-0000-0000FB020000}"/>
    <cellStyle name="Normal 7" xfId="80" xr:uid="{00000000-0005-0000-0000-0000FC020000}"/>
    <cellStyle name="Normal 7 10" xfId="660" xr:uid="{00000000-0005-0000-0000-0000FD020000}"/>
    <cellStyle name="Normal 7 2" xfId="166" xr:uid="{00000000-0005-0000-0000-0000FE020000}"/>
    <cellStyle name="Normal 7 2 2" xfId="338" xr:uid="{00000000-0005-0000-0000-0000FF020000}"/>
    <cellStyle name="Normal 7 2 2 2" xfId="363" xr:uid="{00000000-0005-0000-0000-000000030000}"/>
    <cellStyle name="Normal 7 2 2 2 2" xfId="417" xr:uid="{00000000-0005-0000-0000-000001030000}"/>
    <cellStyle name="Normal 7 2 2 2 2 2" xfId="520" xr:uid="{00000000-0005-0000-0000-000002030000}"/>
    <cellStyle name="Normal 7 2 2 2 2 2 2" xfId="854" xr:uid="{00000000-0005-0000-0000-000003030000}"/>
    <cellStyle name="Normal 7 2 2 2 2 3" xfId="751" xr:uid="{00000000-0005-0000-0000-000004030000}"/>
    <cellStyle name="Normal 7 2 2 2 3" xfId="468" xr:uid="{00000000-0005-0000-0000-000005030000}"/>
    <cellStyle name="Normal 7 2 2 2 3 2" xfId="802" xr:uid="{00000000-0005-0000-0000-000006030000}"/>
    <cellStyle name="Normal 7 2 2 2 4" xfId="638" xr:uid="{00000000-0005-0000-0000-000007030000}"/>
    <cellStyle name="Normal 7 2 2 2 4 2" xfId="955" xr:uid="{00000000-0005-0000-0000-000008030000}"/>
    <cellStyle name="Normal 7 2 2 2 5" xfId="699" xr:uid="{00000000-0005-0000-0000-000009030000}"/>
    <cellStyle name="Normal 7 2 2 3" xfId="396" xr:uid="{00000000-0005-0000-0000-00000A030000}"/>
    <cellStyle name="Normal 7 2 2 3 2" xfId="499" xr:uid="{00000000-0005-0000-0000-00000B030000}"/>
    <cellStyle name="Normal 7 2 2 3 2 2" xfId="833" xr:uid="{00000000-0005-0000-0000-00000C030000}"/>
    <cellStyle name="Normal 7 2 2 3 3" xfId="616" xr:uid="{00000000-0005-0000-0000-00000D030000}"/>
    <cellStyle name="Normal 7 2 2 3 3 2" xfId="934" xr:uid="{00000000-0005-0000-0000-00000E030000}"/>
    <cellStyle name="Normal 7 2 2 3 4" xfId="730" xr:uid="{00000000-0005-0000-0000-00000F030000}"/>
    <cellStyle name="Normal 7 2 2 4" xfId="446" xr:uid="{00000000-0005-0000-0000-000010030000}"/>
    <cellStyle name="Normal 7 2 2 4 2" xfId="780" xr:uid="{00000000-0005-0000-0000-000011030000}"/>
    <cellStyle name="Normal 7 2 2 5" xfId="557" xr:uid="{00000000-0005-0000-0000-000012030000}"/>
    <cellStyle name="Normal 7 2 2 5 2" xfId="890" xr:uid="{00000000-0005-0000-0000-000013030000}"/>
    <cellStyle name="Normal 7 2 2 6" xfId="677" xr:uid="{00000000-0005-0000-0000-000014030000}"/>
    <cellStyle name="Normal 7 2 3" xfId="352" xr:uid="{00000000-0005-0000-0000-000015030000}"/>
    <cellStyle name="Normal 7 2 3 2" xfId="406" xr:uid="{00000000-0005-0000-0000-000016030000}"/>
    <cellStyle name="Normal 7 2 3 2 2" xfId="509" xr:uid="{00000000-0005-0000-0000-000017030000}"/>
    <cellStyle name="Normal 7 2 3 2 2 2" xfId="843" xr:uid="{00000000-0005-0000-0000-000018030000}"/>
    <cellStyle name="Normal 7 2 3 2 3" xfId="627" xr:uid="{00000000-0005-0000-0000-000019030000}"/>
    <cellStyle name="Normal 7 2 3 2 3 2" xfId="944" xr:uid="{00000000-0005-0000-0000-00001A030000}"/>
    <cellStyle name="Normal 7 2 3 2 4" xfId="740" xr:uid="{00000000-0005-0000-0000-00001B030000}"/>
    <cellStyle name="Normal 7 2 3 3" xfId="457" xr:uid="{00000000-0005-0000-0000-00001C030000}"/>
    <cellStyle name="Normal 7 2 3 3 2" xfId="791" xr:uid="{00000000-0005-0000-0000-00001D030000}"/>
    <cellStyle name="Normal 7 2 3 4" xfId="572" xr:uid="{00000000-0005-0000-0000-00001E030000}"/>
    <cellStyle name="Normal 7 2 3 4 2" xfId="906" xr:uid="{00000000-0005-0000-0000-00001F030000}"/>
    <cellStyle name="Normal 7 2 3 5" xfId="688" xr:uid="{00000000-0005-0000-0000-000020030000}"/>
    <cellStyle name="Normal 7 2 4" xfId="385" xr:uid="{00000000-0005-0000-0000-000021030000}"/>
    <cellStyle name="Normal 7 2 4 2" xfId="488" xr:uid="{00000000-0005-0000-0000-000022030000}"/>
    <cellStyle name="Normal 7 2 4 2 2" xfId="822" xr:uid="{00000000-0005-0000-0000-000023030000}"/>
    <cellStyle name="Normal 7 2 4 3" xfId="603" xr:uid="{00000000-0005-0000-0000-000024030000}"/>
    <cellStyle name="Normal 7 2 4 3 2" xfId="923" xr:uid="{00000000-0005-0000-0000-000025030000}"/>
    <cellStyle name="Normal 7 2 4 4" xfId="719" xr:uid="{00000000-0005-0000-0000-000026030000}"/>
    <cellStyle name="Normal 7 2 5" xfId="435" xr:uid="{00000000-0005-0000-0000-000027030000}"/>
    <cellStyle name="Normal 7 2 5 2" xfId="769" xr:uid="{00000000-0005-0000-0000-000028030000}"/>
    <cellStyle name="Normal 7 2 6" xfId="538" xr:uid="{00000000-0005-0000-0000-000029030000}"/>
    <cellStyle name="Normal 7 2 6 2" xfId="872" xr:uid="{00000000-0005-0000-0000-00002A030000}"/>
    <cellStyle name="Normal 7 2 7" xfId="666" xr:uid="{00000000-0005-0000-0000-00002B030000}"/>
    <cellStyle name="Normal 7 3" xfId="333" xr:uid="{00000000-0005-0000-0000-00002C030000}"/>
    <cellStyle name="Normal 7 3 2" xfId="357" xr:uid="{00000000-0005-0000-0000-00002D030000}"/>
    <cellStyle name="Normal 7 3 2 2" xfId="411" xr:uid="{00000000-0005-0000-0000-00002E030000}"/>
    <cellStyle name="Normal 7 3 2 2 2" xfId="514" xr:uid="{00000000-0005-0000-0000-00002F030000}"/>
    <cellStyle name="Normal 7 3 2 2 2 2" xfId="848" xr:uid="{00000000-0005-0000-0000-000030030000}"/>
    <cellStyle name="Normal 7 3 2 2 3" xfId="632" xr:uid="{00000000-0005-0000-0000-000031030000}"/>
    <cellStyle name="Normal 7 3 2 2 3 2" xfId="949" xr:uid="{00000000-0005-0000-0000-000032030000}"/>
    <cellStyle name="Normal 7 3 2 2 4" xfId="745" xr:uid="{00000000-0005-0000-0000-000033030000}"/>
    <cellStyle name="Normal 7 3 2 3" xfId="462" xr:uid="{00000000-0005-0000-0000-000034030000}"/>
    <cellStyle name="Normal 7 3 2 3 2" xfId="796" xr:uid="{00000000-0005-0000-0000-000035030000}"/>
    <cellStyle name="Normal 7 3 2 4" xfId="562" xr:uid="{00000000-0005-0000-0000-000036030000}"/>
    <cellStyle name="Normal 7 3 2 4 2" xfId="896" xr:uid="{00000000-0005-0000-0000-000037030000}"/>
    <cellStyle name="Normal 7 3 2 5" xfId="693" xr:uid="{00000000-0005-0000-0000-000038030000}"/>
    <cellStyle name="Normal 7 3 3" xfId="390" xr:uid="{00000000-0005-0000-0000-000039030000}"/>
    <cellStyle name="Normal 7 3 3 2" xfId="493" xr:uid="{00000000-0005-0000-0000-00003A030000}"/>
    <cellStyle name="Normal 7 3 3 2 2" xfId="827" xr:uid="{00000000-0005-0000-0000-00003B030000}"/>
    <cellStyle name="Normal 7 3 3 3" xfId="578" xr:uid="{00000000-0005-0000-0000-00003C030000}"/>
    <cellStyle name="Normal 7 3 3 3 2" xfId="912" xr:uid="{00000000-0005-0000-0000-00003D030000}"/>
    <cellStyle name="Normal 7 3 3 4" xfId="724" xr:uid="{00000000-0005-0000-0000-00003E030000}"/>
    <cellStyle name="Normal 7 3 4" xfId="440" xr:uid="{00000000-0005-0000-0000-00003F030000}"/>
    <cellStyle name="Normal 7 3 4 2" xfId="610" xr:uid="{00000000-0005-0000-0000-000040030000}"/>
    <cellStyle name="Normal 7 3 4 2 2" xfId="928" xr:uid="{00000000-0005-0000-0000-000041030000}"/>
    <cellStyle name="Normal 7 3 4 3" xfId="774" xr:uid="{00000000-0005-0000-0000-000042030000}"/>
    <cellStyle name="Normal 7 3 5" xfId="544" xr:uid="{00000000-0005-0000-0000-000043030000}"/>
    <cellStyle name="Normal 7 3 5 2" xfId="878" xr:uid="{00000000-0005-0000-0000-000044030000}"/>
    <cellStyle name="Normal 7 3 6" xfId="671" xr:uid="{00000000-0005-0000-0000-000045030000}"/>
    <cellStyle name="Normal 7 4" xfId="346" xr:uid="{00000000-0005-0000-0000-000046030000}"/>
    <cellStyle name="Normal 7 4 2" xfId="400" xr:uid="{00000000-0005-0000-0000-000047030000}"/>
    <cellStyle name="Normal 7 4 2 2" xfId="503" xr:uid="{00000000-0005-0000-0000-000048030000}"/>
    <cellStyle name="Normal 7 4 2 2 2" xfId="837" xr:uid="{00000000-0005-0000-0000-000049030000}"/>
    <cellStyle name="Normal 7 4 2 3" xfId="621" xr:uid="{00000000-0005-0000-0000-00004A030000}"/>
    <cellStyle name="Normal 7 4 2 3 2" xfId="938" xr:uid="{00000000-0005-0000-0000-00004B030000}"/>
    <cellStyle name="Normal 7 4 2 4" xfId="734" xr:uid="{00000000-0005-0000-0000-00004C030000}"/>
    <cellStyle name="Normal 7 4 3" xfId="451" xr:uid="{00000000-0005-0000-0000-00004D030000}"/>
    <cellStyle name="Normal 7 4 3 2" xfId="785" xr:uid="{00000000-0005-0000-0000-00004E030000}"/>
    <cellStyle name="Normal 7 4 4" xfId="551" xr:uid="{00000000-0005-0000-0000-00004F030000}"/>
    <cellStyle name="Normal 7 4 4 2" xfId="884" xr:uid="{00000000-0005-0000-0000-000050030000}"/>
    <cellStyle name="Normal 7 4 5" xfId="682" xr:uid="{00000000-0005-0000-0000-000051030000}"/>
    <cellStyle name="Normal 7 5" xfId="367" xr:uid="{00000000-0005-0000-0000-000052030000}"/>
    <cellStyle name="Normal 7 5 2" xfId="421" xr:uid="{00000000-0005-0000-0000-000053030000}"/>
    <cellStyle name="Normal 7 5 2 2" xfId="524" xr:uid="{00000000-0005-0000-0000-000054030000}"/>
    <cellStyle name="Normal 7 5 2 2 2" xfId="858" xr:uid="{00000000-0005-0000-0000-000055030000}"/>
    <cellStyle name="Normal 7 5 2 3" xfId="642" xr:uid="{00000000-0005-0000-0000-000056030000}"/>
    <cellStyle name="Normal 7 5 2 3 2" xfId="959" xr:uid="{00000000-0005-0000-0000-000057030000}"/>
    <cellStyle name="Normal 7 5 2 4" xfId="755" xr:uid="{00000000-0005-0000-0000-000058030000}"/>
    <cellStyle name="Normal 7 5 3" xfId="472" xr:uid="{00000000-0005-0000-0000-000059030000}"/>
    <cellStyle name="Normal 7 5 3 2" xfId="806" xr:uid="{00000000-0005-0000-0000-00005A030000}"/>
    <cellStyle name="Normal 7 5 4" xfId="566" xr:uid="{00000000-0005-0000-0000-00005B030000}"/>
    <cellStyle name="Normal 7 5 4 2" xfId="900" xr:uid="{00000000-0005-0000-0000-00005C030000}"/>
    <cellStyle name="Normal 7 5 5" xfId="703" xr:uid="{00000000-0005-0000-0000-00005D030000}"/>
    <cellStyle name="Normal 7 6" xfId="371" xr:uid="{00000000-0005-0000-0000-00005E030000}"/>
    <cellStyle name="Normal 7 6 2" xfId="425" xr:uid="{00000000-0005-0000-0000-00005F030000}"/>
    <cellStyle name="Normal 7 6 2 2" xfId="528" xr:uid="{00000000-0005-0000-0000-000060030000}"/>
    <cellStyle name="Normal 7 6 2 2 2" xfId="862" xr:uid="{00000000-0005-0000-0000-000061030000}"/>
    <cellStyle name="Normal 7 6 2 3" xfId="759" xr:uid="{00000000-0005-0000-0000-000062030000}"/>
    <cellStyle name="Normal 7 6 3" xfId="476" xr:uid="{00000000-0005-0000-0000-000063030000}"/>
    <cellStyle name="Normal 7 6 3 2" xfId="810" xr:uid="{00000000-0005-0000-0000-000064030000}"/>
    <cellStyle name="Normal 7 6 4" xfId="646" xr:uid="{00000000-0005-0000-0000-000065030000}"/>
    <cellStyle name="Normal 7 6 4 2" xfId="963" xr:uid="{00000000-0005-0000-0000-000066030000}"/>
    <cellStyle name="Normal 7 6 5" xfId="707" xr:uid="{00000000-0005-0000-0000-000067030000}"/>
    <cellStyle name="Normal 7 7" xfId="380" xr:uid="{00000000-0005-0000-0000-000068030000}"/>
    <cellStyle name="Normal 7 7 2" xfId="483" xr:uid="{00000000-0005-0000-0000-000069030000}"/>
    <cellStyle name="Normal 7 7 2 2" xfId="817" xr:uid="{00000000-0005-0000-0000-00006A030000}"/>
    <cellStyle name="Normal 7 7 3" xfId="597" xr:uid="{00000000-0005-0000-0000-00006B030000}"/>
    <cellStyle name="Normal 7 7 3 2" xfId="917" xr:uid="{00000000-0005-0000-0000-00006C030000}"/>
    <cellStyle name="Normal 7 7 4" xfId="714" xr:uid="{00000000-0005-0000-0000-00006D030000}"/>
    <cellStyle name="Normal 7 8" xfId="429" xr:uid="{00000000-0005-0000-0000-00006E030000}"/>
    <cellStyle name="Normal 7 8 2" xfId="763" xr:uid="{00000000-0005-0000-0000-00006F030000}"/>
    <cellStyle name="Normal 7 9" xfId="532" xr:uid="{00000000-0005-0000-0000-000070030000}"/>
    <cellStyle name="Normal 7 9 2" xfId="866" xr:uid="{00000000-0005-0000-0000-000071030000}"/>
    <cellStyle name="Normal 8" xfId="94" xr:uid="{00000000-0005-0000-0000-000072030000}"/>
    <cellStyle name="Normal 8 2" xfId="180" xr:uid="{00000000-0005-0000-0000-000073030000}"/>
    <cellStyle name="Normal 8 2 2" xfId="360" xr:uid="{00000000-0005-0000-0000-000074030000}"/>
    <cellStyle name="Normal 8 2 2 2" xfId="414" xr:uid="{00000000-0005-0000-0000-000075030000}"/>
    <cellStyle name="Normal 8 2 2 2 2" xfId="517" xr:uid="{00000000-0005-0000-0000-000076030000}"/>
    <cellStyle name="Normal 8 2 2 2 2 2" xfId="851" xr:uid="{00000000-0005-0000-0000-000077030000}"/>
    <cellStyle name="Normal 8 2 2 2 3" xfId="748" xr:uid="{00000000-0005-0000-0000-000078030000}"/>
    <cellStyle name="Normal 8 2 2 3" xfId="465" xr:uid="{00000000-0005-0000-0000-000079030000}"/>
    <cellStyle name="Normal 8 2 2 3 2" xfId="799" xr:uid="{00000000-0005-0000-0000-00007A030000}"/>
    <cellStyle name="Normal 8 2 2 4" xfId="635" xr:uid="{00000000-0005-0000-0000-00007B030000}"/>
    <cellStyle name="Normal 8 2 2 4 2" xfId="952" xr:uid="{00000000-0005-0000-0000-00007C030000}"/>
    <cellStyle name="Normal 8 2 2 5" xfId="696" xr:uid="{00000000-0005-0000-0000-00007D030000}"/>
    <cellStyle name="Normal 8 2 3" xfId="393" xr:uid="{00000000-0005-0000-0000-00007E030000}"/>
    <cellStyle name="Normal 8 2 3 2" xfId="496" xr:uid="{00000000-0005-0000-0000-00007F030000}"/>
    <cellStyle name="Normal 8 2 3 2 2" xfId="830" xr:uid="{00000000-0005-0000-0000-000080030000}"/>
    <cellStyle name="Normal 8 2 3 3" xfId="613" xr:uid="{00000000-0005-0000-0000-000081030000}"/>
    <cellStyle name="Normal 8 2 3 3 2" xfId="931" xr:uid="{00000000-0005-0000-0000-000082030000}"/>
    <cellStyle name="Normal 8 2 3 4" xfId="727" xr:uid="{00000000-0005-0000-0000-000083030000}"/>
    <cellStyle name="Normal 8 2 4" xfId="443" xr:uid="{00000000-0005-0000-0000-000084030000}"/>
    <cellStyle name="Normal 8 2 4 2" xfId="777" xr:uid="{00000000-0005-0000-0000-000085030000}"/>
    <cellStyle name="Normal 8 2 5" xfId="554" xr:uid="{00000000-0005-0000-0000-000086030000}"/>
    <cellStyle name="Normal 8 2 5 2" xfId="887" xr:uid="{00000000-0005-0000-0000-000087030000}"/>
    <cellStyle name="Normal 8 2 6" xfId="674" xr:uid="{00000000-0005-0000-0000-000088030000}"/>
    <cellStyle name="Normal 8 3" xfId="349" xr:uid="{00000000-0005-0000-0000-000089030000}"/>
    <cellStyle name="Normal 8 3 2" xfId="403" xr:uid="{00000000-0005-0000-0000-00008A030000}"/>
    <cellStyle name="Normal 8 3 2 2" xfId="506" xr:uid="{00000000-0005-0000-0000-00008B030000}"/>
    <cellStyle name="Normal 8 3 2 2 2" xfId="840" xr:uid="{00000000-0005-0000-0000-00008C030000}"/>
    <cellStyle name="Normal 8 3 2 3" xfId="624" xr:uid="{00000000-0005-0000-0000-00008D030000}"/>
    <cellStyle name="Normal 8 3 2 3 2" xfId="941" xr:uid="{00000000-0005-0000-0000-00008E030000}"/>
    <cellStyle name="Normal 8 3 2 4" xfId="737" xr:uid="{00000000-0005-0000-0000-00008F030000}"/>
    <cellStyle name="Normal 8 3 3" xfId="454" xr:uid="{00000000-0005-0000-0000-000090030000}"/>
    <cellStyle name="Normal 8 3 3 2" xfId="788" xr:uid="{00000000-0005-0000-0000-000091030000}"/>
    <cellStyle name="Normal 8 3 4" xfId="569" xr:uid="{00000000-0005-0000-0000-000092030000}"/>
    <cellStyle name="Normal 8 3 4 2" xfId="903" xr:uid="{00000000-0005-0000-0000-000093030000}"/>
    <cellStyle name="Normal 8 3 5" xfId="685" xr:uid="{00000000-0005-0000-0000-000094030000}"/>
    <cellStyle name="Normal 8 4" xfId="382" xr:uid="{00000000-0005-0000-0000-000095030000}"/>
    <cellStyle name="Normal 8 4 2" xfId="485" xr:uid="{00000000-0005-0000-0000-000096030000}"/>
    <cellStyle name="Normal 8 4 2 2" xfId="819" xr:uid="{00000000-0005-0000-0000-000097030000}"/>
    <cellStyle name="Normal 8 4 3" xfId="600" xr:uid="{00000000-0005-0000-0000-000098030000}"/>
    <cellStyle name="Normal 8 4 3 2" xfId="920" xr:uid="{00000000-0005-0000-0000-000099030000}"/>
    <cellStyle name="Normal 8 4 4" xfId="716" xr:uid="{00000000-0005-0000-0000-00009A030000}"/>
    <cellStyle name="Normal 8 5" xfId="432" xr:uid="{00000000-0005-0000-0000-00009B030000}"/>
    <cellStyle name="Normal 8 5 2" xfId="766" xr:uid="{00000000-0005-0000-0000-00009C030000}"/>
    <cellStyle name="Normal 8 6" xfId="535" xr:uid="{00000000-0005-0000-0000-00009D030000}"/>
    <cellStyle name="Normal 8 6 2" xfId="869" xr:uid="{00000000-0005-0000-0000-00009E030000}"/>
    <cellStyle name="Normal 8 7" xfId="663" xr:uid="{00000000-0005-0000-0000-00009F030000}"/>
    <cellStyle name="Normal 9" xfId="108" xr:uid="{00000000-0005-0000-0000-0000A0030000}"/>
    <cellStyle name="Normal 9 2" xfId="194" xr:uid="{00000000-0005-0000-0000-0000A1030000}"/>
    <cellStyle name="Normal 9 2 2" xfId="893" xr:uid="{00000000-0005-0000-0000-0000A2030000}"/>
    <cellStyle name="Normal 9 3" xfId="575" xr:uid="{00000000-0005-0000-0000-0000A3030000}"/>
    <cellStyle name="Normal 9 3 2" xfId="909" xr:uid="{00000000-0005-0000-0000-0000A4030000}"/>
    <cellStyle name="Normal 9 4" xfId="607" xr:uid="{00000000-0005-0000-0000-0000A5030000}"/>
    <cellStyle name="Normal 9 5" xfId="541" xr:uid="{00000000-0005-0000-0000-0000A6030000}"/>
    <cellStyle name="Normal 9 5 2" xfId="875" xr:uid="{00000000-0005-0000-0000-0000A7030000}"/>
    <cellStyle name="Normal 9 6" xfId="329" xr:uid="{00000000-0005-0000-0000-0000A8030000}"/>
    <cellStyle name="Note 2" xfId="49" xr:uid="{00000000-0005-0000-0000-0000A9030000}"/>
    <cellStyle name="Note 2 2" xfId="136" xr:uid="{00000000-0005-0000-0000-0000AA030000}"/>
    <cellStyle name="Note 2 3" xfId="297" xr:uid="{00000000-0005-0000-0000-0000AB030000}"/>
    <cellStyle name="Note 3" xfId="51" xr:uid="{00000000-0005-0000-0000-0000AC030000}"/>
    <cellStyle name="Note 3 2" xfId="138" xr:uid="{00000000-0005-0000-0000-0000AD030000}"/>
    <cellStyle name="Note 4" xfId="65" xr:uid="{00000000-0005-0000-0000-0000AE030000}"/>
    <cellStyle name="Note 4 2" xfId="152" xr:uid="{00000000-0005-0000-0000-0000AF030000}"/>
    <cellStyle name="Note 5" xfId="81" xr:uid="{00000000-0005-0000-0000-0000B0030000}"/>
    <cellStyle name="Note 5 2" xfId="167" xr:uid="{00000000-0005-0000-0000-0000B1030000}"/>
    <cellStyle name="Note 6" xfId="95" xr:uid="{00000000-0005-0000-0000-0000B2030000}"/>
    <cellStyle name="Note 6 2" xfId="181" xr:uid="{00000000-0005-0000-0000-0000B3030000}"/>
    <cellStyle name="Note 7" xfId="109" xr:uid="{00000000-0005-0000-0000-0000B4030000}"/>
    <cellStyle name="Note 7 2" xfId="195" xr:uid="{00000000-0005-0000-0000-0000B5030000}"/>
    <cellStyle name="Output" xfId="12" builtinId="21" customBuiltin="1"/>
    <cellStyle name="Output 2" xfId="298" xr:uid="{00000000-0005-0000-0000-0000B7030000}"/>
    <cellStyle name="Output 3" xfId="220" xr:uid="{00000000-0005-0000-0000-0000B8030000}"/>
    <cellStyle name="Per cent" xfId="208" builtinId="5"/>
    <cellStyle name="Percent 10" xfId="657" xr:uid="{00000000-0005-0000-0000-0000BA030000}"/>
    <cellStyle name="Percent 11" xfId="254" xr:uid="{00000000-0005-0000-0000-0000BB030000}"/>
    <cellStyle name="Percent 12" xfId="251" xr:uid="{00000000-0005-0000-0000-0000BC030000}"/>
    <cellStyle name="Percent 13" xfId="979" xr:uid="{00000000-0005-0000-0000-0000BD030000}"/>
    <cellStyle name="Percent 2" xfId="299" xr:uid="{00000000-0005-0000-0000-0000BE030000}"/>
    <cellStyle name="Percent 2 2" xfId="585" xr:uid="{00000000-0005-0000-0000-0000BF030000}"/>
    <cellStyle name="Percent 2 3" xfId="583" xr:uid="{00000000-0005-0000-0000-0000C0030000}"/>
    <cellStyle name="Percent 2 4" xfId="652" xr:uid="{00000000-0005-0000-0000-0000C1030000}"/>
    <cellStyle name="Percent 2 5" xfId="308" xr:uid="{00000000-0005-0000-0000-0000C2030000}"/>
    <cellStyle name="Percent 3" xfId="312" xr:uid="{00000000-0005-0000-0000-0000C3030000}"/>
    <cellStyle name="Percent 3 2" xfId="595" xr:uid="{00000000-0005-0000-0000-0000C4030000}"/>
    <cellStyle name="Percent 4" xfId="307" xr:uid="{00000000-0005-0000-0000-0000C5030000}"/>
    <cellStyle name="Percent 5" xfId="322" xr:uid="{00000000-0005-0000-0000-0000C6030000}"/>
    <cellStyle name="Percent 6" xfId="331" xr:uid="{00000000-0005-0000-0000-0000C7030000}"/>
    <cellStyle name="Percent 6 2" xfId="586" xr:uid="{00000000-0005-0000-0000-0000C8030000}"/>
    <cellStyle name="Percent 7" xfId="344" xr:uid="{00000000-0005-0000-0000-0000C9030000}"/>
    <cellStyle name="Percent 8" xfId="378" xr:uid="{00000000-0005-0000-0000-0000CA030000}"/>
    <cellStyle name="Percent 9" xfId="313" xr:uid="{00000000-0005-0000-0000-0000CB030000}"/>
    <cellStyle name="Title" xfId="3" builtinId="15" customBuiltin="1"/>
    <cellStyle name="Title 2" xfId="300" xr:uid="{00000000-0005-0000-0000-0000CD030000}"/>
    <cellStyle name="Total" xfId="18" builtinId="25" customBuiltin="1"/>
    <cellStyle name="Total 2" xfId="301" xr:uid="{00000000-0005-0000-0000-0000CF030000}"/>
    <cellStyle name="Total 3" xfId="226" xr:uid="{00000000-0005-0000-0000-0000D0030000}"/>
    <cellStyle name="Warning Text" xfId="16" builtinId="11" customBuiltin="1"/>
    <cellStyle name="Warning Text 2" xfId="302" xr:uid="{00000000-0005-0000-0000-0000D2030000}"/>
    <cellStyle name="Warning Text 3" xfId="224" xr:uid="{00000000-0005-0000-0000-0000D3030000}"/>
  </cellStyles>
  <dxfs count="568">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font>
        <strike val="0"/>
        <outline val="0"/>
        <shadow val="0"/>
        <u val="none"/>
        <vertAlign val="baseline"/>
        <sz val="10"/>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Arial"/>
        <family val="2"/>
        <scheme val="none"/>
      </font>
      <numFmt numFmtId="0" formatCode="General"/>
      <alignment horizontal="center" vertical="top" textRotation="0" wrapText="1"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auto="1"/>
        <name val="Arial"/>
        <family val="2"/>
        <scheme val="none"/>
      </font>
      <numFmt numFmtId="0" formatCode="General"/>
      <alignment horizontal="left" vertical="top" textRotation="0" wrapText="1" indent="0" justifyLastLine="0" shrinkToFit="0" readingOrder="0"/>
      <border diagonalUp="0" diagonalDown="0">
        <left/>
        <right style="thin">
          <color theme="0" tint="-0.24994659260841701"/>
        </right>
        <top/>
        <bottom/>
        <vertical/>
        <horizontal/>
      </border>
    </dxf>
    <dxf>
      <border outline="0">
        <right style="thin">
          <color theme="0" tint="-0.24994659260841701"/>
        </right>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0"/>
        <color theme="0" tint="-0.499984740745262"/>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dxf>
    <dxf>
      <fill>
        <patternFill>
          <bgColor theme="6" tint="0.39994506668294322"/>
        </patternFill>
      </fill>
    </dxf>
    <dxf>
      <fill>
        <patternFill>
          <bgColor theme="9" tint="0.39994506668294322"/>
        </patternFill>
      </fill>
    </dxf>
    <dxf>
      <fill>
        <patternFill>
          <bgColor theme="0" tint="-0.34998626667073579"/>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ill>
        <patternFill>
          <bgColor theme="6" tint="0.39994506668294322"/>
        </patternFill>
      </fill>
    </dxf>
    <dxf>
      <fill>
        <patternFill>
          <bgColor theme="9" tint="0.39994506668294322"/>
        </patternFill>
      </fill>
    </dxf>
    <dxf>
      <fill>
        <patternFill>
          <bgColor theme="0" tint="-0.499984740745262"/>
        </patternFill>
      </fill>
    </dxf>
    <dxf>
      <font>
        <strike val="0"/>
        <outline val="0"/>
        <shadow val="0"/>
        <u val="none"/>
        <vertAlign val="baseline"/>
        <sz val="10"/>
        <color auto="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color auto="1"/>
        <name val="Arial"/>
        <family val="2"/>
        <scheme val="none"/>
      </font>
    </dxf>
    <dxf>
      <border>
        <bottom style="thin">
          <color indexed="64"/>
        </bottom>
      </border>
    </dxf>
    <dxf>
      <font>
        <b/>
        <i val="0"/>
        <strike val="0"/>
        <condense val="0"/>
        <extend val="0"/>
        <outline val="0"/>
        <shadow val="0"/>
        <u val="none"/>
        <vertAlign val="baseline"/>
        <sz val="10"/>
        <color theme="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499984740745262"/>
        </patternFill>
      </fill>
    </dxf>
    <dxf>
      <fill>
        <patternFill>
          <bgColor rgb="FFFF0000"/>
        </patternFill>
      </fill>
    </dxf>
    <dxf>
      <fill>
        <patternFill>
          <bgColor theme="0" tint="-0.34998626667073579"/>
        </patternFill>
      </fill>
    </dxf>
    <dxf>
      <fill>
        <patternFill>
          <bgColor theme="6" tint="0.39994506668294322"/>
        </patternFill>
      </fill>
    </dxf>
    <dxf>
      <fill>
        <patternFill>
          <bgColor theme="6" tint="0.39994506668294322"/>
        </patternFill>
      </fill>
    </dxf>
    <dxf>
      <fill>
        <patternFill>
          <bgColor theme="0" tint="-0.34998626667073579"/>
        </patternFill>
      </fill>
    </dxf>
    <dxf>
      <fill>
        <patternFill>
          <bgColor theme="6"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ont>
        <b val="0"/>
        <i val="0"/>
        <strike val="0"/>
        <condense val="0"/>
        <extend val="0"/>
        <outline val="0"/>
        <shadow val="0"/>
        <u val="none"/>
        <vertAlign val="baseline"/>
        <sz val="10"/>
        <color theme="1"/>
        <name val="Arial"/>
        <family val="2"/>
        <scheme val="none"/>
      </font>
      <numFmt numFmtId="0" formatCode="General"/>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30" formatCode="@"/>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1" formatCode="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left style="thin">
          <color rgb="FFB4B5B2"/>
        </left>
        <right style="thin">
          <color rgb="FFB4B5B2"/>
        </right>
        <top style="thin">
          <color rgb="FFB4B5B2"/>
        </top>
        <bottom style="thin">
          <color rgb="FFB4B5B2"/>
        </bottom>
        <vertical style="thin">
          <color rgb="FFB4B5B2"/>
        </vertical>
        <horizontal style="thin">
          <color rgb="FFB4B5B2"/>
        </horizontal>
      </border>
    </dxf>
    <dxf>
      <font>
        <b val="0"/>
        <i val="0"/>
        <strike val="0"/>
        <condense val="0"/>
        <extend val="0"/>
        <outline val="0"/>
        <shadow val="0"/>
        <u val="none"/>
        <vertAlign val="baseline"/>
        <sz val="10"/>
        <color theme="1"/>
        <name val="Arial"/>
        <family val="2"/>
        <scheme val="none"/>
      </font>
      <numFmt numFmtId="2" formatCode="0.00"/>
      <alignment horizontal="center" vertical="top" textRotation="0" wrapText="1" indent="0" justifyLastLine="0" shrinkToFit="0" readingOrder="0"/>
      <border diagonalUp="0" diagonalDown="0" outline="0">
        <left style="thin">
          <color rgb="FFB4B5B2"/>
        </left>
        <right style="thin">
          <color rgb="FFB4B5B2"/>
        </right>
        <top style="thin">
          <color rgb="FFB4B5B2"/>
        </top>
        <bottom style="thin">
          <color rgb="FFB4B5B2"/>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rgb="FFB4B5B2"/>
        </left>
        <right style="thin">
          <color rgb="FFB4B5B2"/>
        </right>
        <top style="thin">
          <color rgb="FFB4B5B2"/>
        </top>
        <bottom style="thin">
          <color rgb="FFB4B5B2"/>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rgb="FFB4B5B2"/>
        </left>
        <right style="thin">
          <color rgb="FFB4B5B2"/>
        </right>
        <top style="thin">
          <color rgb="FFB4B5B2"/>
        </top>
        <bottom style="thin">
          <color rgb="FFB4B5B2"/>
        </bottom>
      </border>
    </dxf>
    <dxf>
      <border outline="0">
        <left style="medium">
          <color rgb="FFB4B5B2"/>
        </left>
      </border>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0"/>
        <color theme="0" tint="-0.499984740745262"/>
        <name val="Arial"/>
        <family val="2"/>
        <scheme val="none"/>
      </font>
      <alignment horizontal="center" vertical="center" textRotation="0" wrapText="1" indent="0" justifyLastLine="0" shrinkToFit="0" readingOrder="0"/>
    </dxf>
    <dxf>
      <fill>
        <patternFill>
          <bgColor theme="0" tint="-0.34998626667073579"/>
        </patternFill>
      </fill>
    </dxf>
    <dxf>
      <fill>
        <patternFill>
          <bgColor theme="0" tint="-0.34998626667073579"/>
        </patternFill>
      </fill>
    </dxf>
    <dxf>
      <fill>
        <patternFill>
          <bgColor theme="6" tint="0.39994506668294322"/>
        </patternFill>
      </fill>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strike val="0"/>
        <outline val="0"/>
        <shadow val="0"/>
        <u val="none"/>
        <vertAlign val="baseline"/>
        <sz val="10"/>
        <name val="Arial"/>
        <family val="2"/>
        <scheme val="none"/>
      </font>
      <alignment horizontal="general"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font>
        <strike val="0"/>
        <outline val="0"/>
        <shadow val="0"/>
        <u val="none"/>
        <vertAlign val="baseline"/>
        <sz val="10"/>
        <color theme="1"/>
        <name val="Arial"/>
        <family val="2"/>
        <scheme val="none"/>
      </font>
      <alignment horizontal="left" vertical="top" textRotation="0"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numFmt numFmtId="2" formatCode="0.00"/>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font>
        <sz val="11"/>
        <name val="Tahoma"/>
        <family val="2"/>
      </font>
      <alignment horizontal="left" vertical="bottom" textRotation="0" wrapText="0" indent="0" justifyLastLine="0" shrinkToFit="0" readingOrder="0"/>
    </dxf>
    <dxf>
      <font>
        <sz val="11"/>
        <name val="Tahoma"/>
        <family val="2"/>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2" formatCode="0.00"/>
      <alignment horizontal="left" vertical="bottom" textRotation="0" wrapText="0" indent="0" justifyLastLine="0" shrinkToFit="0" readingOrder="0"/>
    </dxf>
    <dxf>
      <numFmt numFmtId="2" formatCode="0.00"/>
      <alignment horizontal="left" vertical="bottom" textRotation="0" wrapText="0" indent="0" justifyLastLine="0" shrinkToFit="0" readingOrder="0"/>
    </dxf>
    <dxf>
      <font>
        <sz val="11"/>
        <name val="Tahoma"/>
        <family val="2"/>
      </font>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theme="4" tint="0.79998168889431442"/>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theme="4" tint="0.79998168889431442"/>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theme="4" tint="0.79998168889431442"/>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9" formatCode="dd/mm/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numFmt numFmtId="166" formatCode="_-&quot;£&quot;* #,##0.00_-;\-&quot;£&quot;* #,##0.00_-;_-&quot;£&quot;*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6" formatCode="_-&quot;£&quot;* #,##0.00_-;\-&quot;£&quot;* #,##0.00_-;_-&quot;£&quot;*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bgColor auto="1"/>
        </patternFill>
      </fill>
      <alignment horizontal="left" vertical="top" textRotation="0"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fill>
        <patternFill patternType="none">
          <bgColor auto="1"/>
        </patternFill>
      </fill>
      <border diagonalUp="0" diagonalDown="0" outline="0">
        <left style="thin">
          <color indexed="64"/>
        </left>
        <right style="thin">
          <color indexed="64"/>
        </right>
        <top/>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dxf>
    <dxf>
      <border>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bottom/>
      </border>
    </dxf>
    <dxf>
      <fill>
        <patternFill>
          <bgColor rgb="FFFF0000"/>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ont>
        <color rgb="FF9C0006"/>
      </font>
      <fill>
        <patternFill>
          <bgColor rgb="FFFFC7CE"/>
        </patternFill>
      </fill>
    </dxf>
    <dxf>
      <fill>
        <patternFill>
          <bgColor theme="6" tint="0.39994506668294322"/>
        </patternFill>
      </fill>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color theme="0"/>
      </font>
      <fill>
        <patternFill>
          <bgColor theme="4"/>
        </patternFill>
      </fill>
      <border>
        <left/>
        <right/>
        <top style="thin">
          <color auto="1"/>
        </top>
        <bottom style="thin">
          <color auto="1"/>
        </bottom>
      </border>
    </dxf>
    <dxf>
      <fill>
        <patternFill>
          <bgColor theme="0" tint="-0.24994659260841701"/>
        </patternFill>
      </fill>
    </dxf>
    <dxf>
      <fill>
        <patternFill>
          <bgColor rgb="FFFF0000"/>
        </patternFill>
      </fill>
    </dxf>
    <dxf>
      <fill>
        <patternFill>
          <bgColor rgb="FFFFFF00"/>
        </patternFill>
      </fill>
    </dxf>
    <dxf>
      <fill>
        <patternFill>
          <bgColor theme="6" tint="0.39994506668294322"/>
        </patternFill>
      </fill>
    </dxf>
    <dxf>
      <fill>
        <patternFill>
          <bgColor theme="6" tint="0.39994506668294322"/>
        </patternFill>
      </fill>
    </dxf>
    <dxf>
      <fill>
        <patternFill>
          <bgColor theme="0" tint="-0.24994659260841701"/>
        </patternFill>
      </fill>
    </dxf>
    <dxf>
      <font>
        <b/>
        <i val="0"/>
        <color theme="0"/>
      </font>
      <fill>
        <patternFill>
          <bgColor theme="4"/>
        </patternFill>
      </fill>
      <border>
        <left/>
        <right/>
        <top style="thin">
          <color auto="1"/>
        </top>
        <bottom style="thin">
          <color auto="1"/>
        </bottom>
      </border>
    </dxf>
    <dxf>
      <fill>
        <patternFill>
          <bgColor theme="0" tint="-0.24994659260841701"/>
        </patternFill>
      </fill>
    </dxf>
    <dxf>
      <fill>
        <patternFill>
          <bgColor rgb="FFFF0000"/>
        </patternFill>
      </fill>
    </dxf>
    <dxf>
      <fill>
        <patternFill>
          <bgColor rgb="FFFFFF00"/>
        </patternFill>
      </fill>
    </dxf>
    <dxf>
      <fill>
        <patternFill>
          <bgColor theme="6" tint="0.39994506668294322"/>
        </patternFill>
      </fill>
    </dxf>
    <dxf>
      <fill>
        <patternFill>
          <bgColor theme="6" tint="0.39994506668294322"/>
        </patternFill>
      </fill>
    </dxf>
    <dxf>
      <font>
        <color rgb="FF9C0006"/>
      </font>
      <fill>
        <patternFill>
          <bgColor rgb="FFFFC7CE"/>
        </patternFill>
      </fill>
    </dxf>
    <dxf>
      <font>
        <strike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19" formatCode="dd/mm/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border diagonalUp="0" diagonalDown="0" outline="0">
        <left style="thin">
          <color indexed="64"/>
        </left>
        <right style="thin">
          <color indexed="64"/>
        </right>
        <top/>
        <bottom/>
      </border>
    </dxf>
    <dxf>
      <fill>
        <patternFill>
          <bgColor theme="6" tint="0.39994506668294322"/>
        </patternFill>
      </fill>
    </dxf>
    <dxf>
      <fill>
        <patternFill>
          <bgColor theme="0" tint="-0.499984740745262"/>
        </patternFill>
      </fill>
    </dxf>
    <dxf>
      <fill>
        <patternFill>
          <bgColor rgb="FFFF0000"/>
        </patternFill>
      </fill>
    </dxf>
    <dxf>
      <fill>
        <patternFill>
          <bgColor theme="6" tint="0.39994506668294322"/>
        </patternFill>
      </fill>
    </dxf>
    <dxf>
      <font>
        <color theme="0" tint="-0.499984740745262"/>
      </font>
    </dxf>
    <dxf>
      <font>
        <color theme="0" tint="-0.499984740745262"/>
      </font>
      <fill>
        <patternFill patternType="none">
          <bgColor auto="1"/>
        </patternFill>
      </fill>
    </dxf>
    <dxf>
      <font>
        <color theme="0" tint="-0.499984740745262"/>
      </font>
    </dxf>
    <dxf>
      <font>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0074C5"/>
      <color rgb="FF2D3C46"/>
      <color rgb="FF333C41"/>
      <color rgb="FF006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6A35E97-313B-4088-AA57-356E90DDEBD2}" name="TBL_030_QA_SQ" displayName="TBL_030_QA_SQ" ref="A1:F15" totalsRowShown="0" headerRowDxfId="549" dataDxfId="547" headerRowBorderDxfId="548" tableBorderDxfId="546" totalsRowBorderDxfId="545">
  <autoFilter ref="A1:F15" xr:uid="{5BF436BD-2C23-416F-8519-E70168196780}"/>
  <tableColumns count="6">
    <tableColumn id="1" xr3:uid="{6B3977BD-CD66-4B04-92E4-3BF0C72259E6}" name="Activity" dataDxfId="544"/>
    <tableColumn id="2" xr3:uid="{159B79D7-D97F-4E1A-8E7D-BA8A5EE6C9BE}" name="Name" dataDxfId="543"/>
    <tableColumn id="3" xr3:uid="{D01C1FB8-38A2-4A70-831F-88FBB63DC0E4}" name="Date Completed" dataDxfId="542"/>
    <tableColumn id="4" xr3:uid="{AB9D03AD-0833-4CEE-8CDC-98B17EB97C02}" name="Comments / Revisons made" dataDxfId="541"/>
    <tableColumn id="5" xr3:uid="{C3D30A11-C667-406E-949D-5265DD0B7ACF}" name="Name_Check" dataDxfId="540"/>
    <tableColumn id="6" xr3:uid="{EF4AACB4-55D1-48FA-BD51-B8323370CE52}" name="Date_Check" dataDxfId="539">
      <calculatedColumnFormula>IF(TBL_030_QA_SQ[[#This Row],[Date Completed]]&lt;&gt;"", "", "Add")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001_ProjectInfo" displayName="TBL_001_ProjectInfo" ref="A1:H222" totalsRowShown="0" headerRowDxfId="523" dataDxfId="521" headerRowBorderDxfId="522" tableBorderDxfId="520" totalsRowBorderDxfId="519">
  <autoFilter ref="A1:H222" xr:uid="{00000000-0009-0000-0100-000001000000}"/>
  <tableColumns count="8">
    <tableColumn id="1" xr3:uid="{00000000-0010-0000-0000-000001000000}" name="Query" dataDxfId="518"/>
    <tableColumn id="2" xr3:uid="{00000000-0010-0000-0000-000002000000}" name="Response" dataDxfId="517"/>
    <tableColumn id="3" xr3:uid="{00000000-0010-0000-0000-000003000000}" name="Comments" dataDxfId="516"/>
    <tableColumn id="6" xr3:uid="{6AD7C6C0-4ADF-46EE-9E0E-8DA312E40163}" name="Required?" dataDxfId="515"/>
    <tableColumn id="9" xr3:uid="{9D1ADDD1-3EC9-4171-9E9A-37E49B64351D}" name="Type" dataDxfId="514"/>
    <tableColumn id="4" xr3:uid="{0B79ACA0-5CA2-480B-8B96-95CD8A761706}" name="R_Check" dataDxfId="513">
      <calculatedColumnFormula>IF(OR(TBL_001_ProjectInfo[[#This Row],[Type]]="Heading", TBL_001_ProjectInfo[[#This Row],[Required?]]="No"), "", IF(TBL_001_ProjectInfo[[#This Row],[Response]]&lt;&gt;"", "", "Add"))</calculatedColumnFormula>
    </tableColumn>
    <tableColumn id="5" xr3:uid="{C99C69CB-BE5E-4E9D-BC36-55D7F7BE6C8A}" name="C_Check" dataDxfId="512"/>
    <tableColumn id="7" xr3:uid="{3E574DF3-99F9-4B1C-9DF6-CBDBBBD0F2C3}" name="Options" dataDxfId="5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002_Dates" displayName="TBL_002_Dates" ref="A1:I49" totalsRowShown="0" headerRowDxfId="505" dataDxfId="503" headerRowBorderDxfId="504" tableBorderDxfId="502" totalsRowBorderDxfId="501">
  <autoFilter ref="A1:I49" xr:uid="{00000000-0009-0000-0100-000002000000}">
    <filterColumn colId="3">
      <filters>
        <filter val="Yes"/>
      </filters>
    </filterColumn>
  </autoFilter>
  <tableColumns count="9">
    <tableColumn id="1" xr3:uid="{00000000-0010-0000-0100-000001000000}" name="Title" dataDxfId="500"/>
    <tableColumn id="2" xr3:uid="{00000000-0010-0000-0100-000002000000}" name="Date" dataDxfId="499"/>
    <tableColumn id="3" xr3:uid="{00000000-0010-0000-0100-000003000000}" name="Day of the Week" dataDxfId="498">
      <calculatedColumnFormula>IF(TBL_002_Dates[[#This Row],[Date]]&lt;&gt;"", VLOOKUP(WEEKDAY(TBL_002_Dates[[#This Row],[Date]]), TBL_006_Weekday[], 2, FALSE), "")</calculatedColumnFormula>
    </tableColumn>
    <tableColumn id="8" xr3:uid="{0CB1636D-F943-4E72-84BD-AC12FE3DC87E}" name="Required?" dataDxfId="497"/>
    <tableColumn id="9" xr3:uid="{D0935766-9165-4D27-B3F3-9A1CF18ECB9E}" name="Type" dataDxfId="496"/>
    <tableColumn id="5" xr3:uid="{A81CEEC3-FAC0-4EC8-A223-B224953D00FC}" name="D_Check" dataDxfId="495">
      <calculatedColumnFormula>IF(OR(TBL_002_Dates[[#This Row],[Required?]]="No", TBL_002_Dates[[#This Row],[Type]]="Heading"), "", IF(TBL_002_Dates[[#This Row],[Date]]&lt;&gt;"", "", "Add"))</calculatedColumnFormula>
    </tableColumn>
    <tableColumn id="4" xr3:uid="{887CC2AD-292A-4758-B198-3506701E9EB1}" name="Working day?" dataDxfId="494"/>
    <tableColumn id="6" xr3:uid="{3655FCDC-98D4-41CF-955F-43E9CD6B5E18}" name="Stage" dataDxfId="493"/>
    <tableColumn id="7" xr3:uid="{7262DACF-CC8A-4871-AE8B-E59BF4F6E204}" name="Activity" dataDxfId="49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003_DocMerge" displayName="TBL_003_DocMerge" ref="A1:EM8" totalsRowShown="0" headerRowDxfId="491" dataDxfId="489" headerRowBorderDxfId="490" tableBorderDxfId="488" totalsRowBorderDxfId="487">
  <autoFilter ref="A1:EM8" xr:uid="{00000000-0009-0000-0100-000003000000}"/>
  <tableColumns count="143">
    <tableColumn id="14" xr3:uid="{6B7222A9-0807-466C-AD96-34EBA3446869}" name="Lot" dataDxfId="486"/>
    <tableColumn id="78" xr3:uid="{DC2ED13F-3CC1-4856-807E-5054D557A3F7}" name="Lot_Ref" dataDxfId="485"/>
    <tableColumn id="51" xr3:uid="{00000000-0010-0000-0200-000033000000}" name="Job_No" dataDxfId="484">
      <calculatedColumnFormula>'Project Info'!$B$3</calculatedColumnFormula>
    </tableColumn>
    <tableColumn id="1" xr3:uid="{00000000-0010-0000-0200-000001000000}" name="Client_Name" dataDxfId="483">
      <calculatedColumnFormula>'Project Info'!$B$7</calculatedColumnFormula>
    </tableColumn>
    <tableColumn id="2" xr3:uid="{00000000-0010-0000-0200-000002000000}" name="Client" dataDxfId="482">
      <calculatedColumnFormula>'Project Info'!$B$8</calculatedColumnFormula>
    </tableColumn>
    <tableColumn id="3" xr3:uid="{00000000-0010-0000-0200-000003000000}" name="Project_Title" dataDxfId="481">
      <calculatedColumnFormula>'Project Info'!$B$9</calculatedColumnFormula>
    </tableColumn>
    <tableColumn id="96" xr3:uid="{00000000-0010-0000-0200-000060000000}" name="Description" dataDxfId="480">
      <calculatedColumnFormula>'Project Info'!$B$10</calculatedColumnFormula>
    </tableColumn>
    <tableColumn id="4" xr3:uid="{00000000-0010-0000-0200-000004000000}" name="Registered_address" dataDxfId="479">
      <calculatedColumnFormula>'Project Info'!$B$11</calculatedColumnFormula>
    </tableColumn>
    <tableColumn id="5" xr3:uid="{00000000-0010-0000-0200-000005000000}" name="Contract_area" dataDxfId="478">
      <calculatedColumnFormula>'Project Info'!$B$12</calculatedColumnFormula>
    </tableColumn>
    <tableColumn id="29" xr3:uid="{00000000-0010-0000-0200-00001D000000}" name="FFT_contact" dataDxfId="477">
      <calculatedColumnFormula>'Project Info'!$B$4</calculatedColumnFormula>
    </tableColumn>
    <tableColumn id="57" xr3:uid="{00000000-0010-0000-0200-000039000000}" name="Owner" dataDxfId="476">
      <calculatedColumnFormula>'Project Info'!$C$4</calculatedColumnFormula>
    </tableColumn>
    <tableColumn id="56" xr3:uid="{00000000-0010-0000-0200-000038000000}" name="Author" dataDxfId="475">
      <calculatedColumnFormula>'Project Info'!$B$5</calculatedColumnFormula>
    </tableColumn>
    <tableColumn id="166" xr3:uid="{C0492600-4C31-4B6D-B227-05DFED817A4B}" name="Office_Address" dataDxfId="474">
      <calculatedColumnFormula>IF('Project Info'!$B$6&lt;&gt;"", VLOOKUP('Project Info'!$B$6, TBL_033_Offices[], 2, FALSE), "To be added")</calculatedColumnFormula>
    </tableColumn>
    <tableColumn id="141" xr3:uid="{69059791-A510-49D3-B4B3-AC2A4954B02E}" name="Office_Number" dataDxfId="473">
      <calculatedColumnFormula>IF('Project Info'!$B$6&lt;&gt;"", VLOOKUP('Project Info'!$B$6, TBL_033_Offices[], 3, FALSE), "To be added")</calculatedColumnFormula>
    </tableColumn>
    <tableColumn id="182" xr3:uid="{FF961B9B-B46F-4779-8719-AF4B85416930}" name="Doc_Date" dataDxfId="472">
      <calculatedColumnFormula>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calculatedColumnFormula>
    </tableColumn>
    <tableColumn id="106" xr3:uid="{00000000-0010-0000-0200-00006A000000}" name="Procedure" dataDxfId="471">
      <calculatedColumnFormula>IF('Project Info'!$B$18&lt;&gt;"", 'Project Info'!$B$18, "")</calculatedColumnFormula>
    </tableColumn>
    <tableColumn id="168" xr3:uid="{3904FD3B-D437-4CF0-A99E-B6B84B2B3238}" name="Threshold" dataDxfId="470">
      <calculatedColumnFormula>IF(OR('Project Info'!$B$15=Lookups!$F$7, 'Project Info'!$B$15=Lookups!$F$8), "Below", IF('Project Info'!$B$14="works", IF('Project Info'!$B$15=Lookups!$F$10, "Above", "Below"), IF('Project Info'!$B$15=Lookups!$G$9, "Above", "Below")))</calculatedColumnFormula>
    </tableColumn>
    <tableColumn id="44" xr3:uid="{D2748901-9175-4368-BF22-019CD255E559}" name="Stage" dataDxfId="469">
      <calculatedColumnFormula>IF('Project Info'!$B$18="Open Procedure", "Request to Participate and Tender", IF('Project Info'!$B$20="SQ", "Request to Participate", IF('Project Info'!$B$20="Tender", 'Project Info'!$B$20, CONCATENATE('Project Info'!$B$20, " Tender"))))</calculatedColumnFormula>
    </tableColumn>
    <tableColumn id="45" xr3:uid="{E4DCC5F4-C818-459B-A392-8D49D0BEECF2}" name="Abb_Stage" dataDxfId="468">
      <calculatedColumnFormula>IF('Project Info'!$B$18="Open Procedure", CONCATENATE('Project Info'!$B$17," and Tender"), IF('Project Info'!$B$20="SQ", 'Project Info'!$B$17, IF(OR('Project Info'!$B$20="Initial",'Project Info'!$B$20="Final"),CONCATENATE('Project Info'!$B$20," tender"), "Tender")))</calculatedColumnFormula>
    </tableColumn>
    <tableColumn id="128" xr3:uid="{D58808AC-E812-4CA7-ADD9-21031E8B7B30}" name="PAS_or_SQ?" dataDxfId="467">
      <calculatedColumnFormula>IF('Project Info'!$B$17&lt;&gt;"", 'Project Info'!$B$17, "")</calculatedColumnFormula>
    </tableColumn>
    <tableColumn id="7" xr3:uid="{00000000-0010-0000-0200-000007000000}" name="works_service_supplies" dataDxfId="466">
      <calculatedColumnFormula>'Project Info'!$B$14</calculatedColumnFormula>
    </tableColumn>
    <tableColumn id="8" xr3:uid="{00000000-0010-0000-0200-000008000000}" name="contract_or_fw" dataDxfId="465">
      <calculatedColumnFormula>'Project Info'!$B$13</calculatedColumnFormula>
    </tableColumn>
    <tableColumn id="167" xr3:uid="{EBFE5791-4295-41B6-85C3-52D6EB160307}" name="FoC" dataDxfId="464">
      <calculatedColumnFormula>'Project Info'!$B$49</calculatedColumnFormula>
    </tableColumn>
    <tableColumn id="9" xr3:uid="{00000000-0010-0000-0200-000009000000}" name="Lotted?" dataDxfId="463">
      <calculatedColumnFormula>'Project Info'!$B$23</calculatedColumnFormula>
    </tableColumn>
    <tableColumn id="135" xr3:uid="{4B620A53-2199-4A89-BD3D-C9F88418E739}" name="No_of_Lots" dataDxfId="462">
      <calculatedColumnFormula>IF('Project Info'!$B$24="N/A", "N/A", 'Project Info'!$B$24)</calculatedColumnFormula>
    </tableColumn>
    <tableColumn id="10" xr3:uid="{00000000-0010-0000-0200-00000A000000}" name="No_of_Lots_Words" dataDxfId="461">
      <calculatedColumnFormula>IF(Lotted?="Yes", IF('Project Info'!$B$24="N/A", "N/A", IF('Project Info'!$B$24&gt;=11, CONCATENATE('Project Info'!$B$24, " lots"), CONCATENATE(VLOOKUP('Project Info'!$B$24, TBL_004_nolookup[], 2, FALSE), " lots"))), "N/A")</calculatedColumnFormula>
    </tableColumn>
    <tableColumn id="11" xr3:uid="{00000000-0010-0000-0200-00000B000000}" name="max_contracts" dataDxfId="460">
      <calculatedColumnFormula>IF('Project Info'!$B$31&gt;=11, 'Project Info'!$B$31, VLOOKUP('Project Info'!$B$31, TBL_004_nolookup[], 2, FALSE))</calculatedColumnFormula>
    </tableColumn>
    <tableColumn id="13" xr3:uid="{00000000-0010-0000-0200-00000D000000}" name="form_of_contract" dataDxfId="459">
      <calculatedColumnFormula>IF('Project Info'!$B$49="Other (please provide info)", 'Project Info'!$C$50, 'Project Info'!$B$50)</calculatedColumnFormula>
    </tableColumn>
    <tableColumn id="129" xr3:uid="{DC2E0150-2FBB-4059-B0E7-07D08C3AA126}" name="Terminology" dataDxfId="458">
      <calculatedColumnFormula>IF('Project Info'!$B$49="Partnering", IF('Project Info'!$B$50="ACA Standard Form of Contract for Term Partnering (TPC 2005 – Amended 2008) published by The Association of Consultant Architects Ltd.  (ACA)", "TPC", "TAC"), 'Project Info'!$B$49)</calculatedColumnFormula>
    </tableColumn>
    <tableColumn id="49" xr3:uid="{00000000-0010-0000-0200-000031000000}" name="SP_or_Contractor" dataDxfId="457">
      <calculatedColumnFormula>'Project Info'!$C$51</calculatedColumnFormula>
    </tableColumn>
    <tableColumn id="50" xr3:uid="{00000000-0010-0000-0200-000032000000}" name="CA_or_CR full" dataDxfId="456">
      <calculatedColumnFormula>'Project Info'!$B$52</calculatedColumnFormula>
    </tableColumn>
    <tableColumn id="64" xr3:uid="{00000000-0010-0000-0200-000040000000}" name="CA_or_CR" dataDxfId="455">
      <calculatedColumnFormula>'Project Info'!$C$52</calculatedColumnFormula>
    </tableColumn>
    <tableColumn id="134" xr3:uid="{E7FC545E-183C-4EE9-A86E-AF69D0FA200E}" name="PF_or_TB?" dataDxfId="454">
      <calculatedColumnFormula>IF('Project Info'!$B$49="Partnering", "Price Framework", "Tender Book")</calculatedColumnFormula>
    </tableColumn>
    <tableColumn id="97" xr3:uid="{00000000-0010-0000-0200-000061000000}" name="Duration_type" dataDxfId="453">
      <calculatedColumnFormula>'Project Info'!$B$53</calculatedColumnFormula>
    </tableColumn>
    <tableColumn id="15" xr3:uid="{00000000-0010-0000-0200-00000F000000}" name="min_duration" dataDxfId="452">
      <calculatedColumnFormula>IF('Project Info'!$B$54&gt;=11, CONCATENATE('Project Info'!$B$54, " ", TBL_003_DocMerge[[#This Row],[Duration_type]],"s"), IF( 'Project Info'!$B$54=1, CONCATENATE("one ",TBL_003_DocMerge[[#This Row],[Duration_type]]), CONCATENATE(VLOOKUP('Project Info'!$B$54, TBL_004_nolookup[], 2, FALSE), " ", TBL_003_DocMerge[[#This Row],[Duration_type]], "s")))</calculatedColumnFormula>
    </tableColumn>
    <tableColumn id="16" xr3:uid="{00000000-0010-0000-0200-000010000000}" name="max_duration" dataDxfId="451">
      <calculatedColumnFormula>IF('Project Info'!$B$55&gt;=11, CONCATENATE('Project Info'!$B$55, " ", TBL_003_DocMerge[[#This Row],[Duration_type]],"s"), IF( 'Project Info'!$B$55=1, CONCATENATE("one ",TBL_003_DocMerge[[#This Row],[Duration_type]]), CONCATENATE(VLOOKUP('Project Info'!$B$55, TBL_004_nolookup[], 2, FALSE), " ", TBL_003_DocMerge[[#This Row],[Duration_type]], "s")))</calculatedColumnFormula>
    </tableColumn>
    <tableColumn id="65" xr3:uid="{00000000-0010-0000-0200-000041000000}" name="max_extension" dataDxfId="450">
      <calculatedColumnFormula>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calculatedColumnFormula>
    </tableColumn>
    <tableColumn id="17" xr3:uid="{00000000-0010-0000-0200-000011000000}" name="annually_renewable" dataDxfId="449">
      <calculatedColumnFormula>'Project Info'!$B$56</calculatedColumnFormula>
    </tableColumn>
    <tableColumn id="18" xr3:uid="{00000000-0010-0000-0200-000012000000}" name="renew_basis" dataDxfId="448">
      <calculatedColumnFormula>IF(TBL_003_DocMerge[[#This Row],[annually_renewable]]="Yes - extensions on an annually renewable basis", "on an annually renewable basis",'Project Info'!$C$56)</calculatedColumnFormula>
    </tableColumn>
    <tableColumn id="20" xr3:uid="{00000000-0010-0000-0200-000014000000}" name="type_of_prop_total" dataDxfId="447">
      <calculatedColumnFormula>'Project Info'!$B$65</calculatedColumnFormula>
    </tableColumn>
    <tableColumn id="21" xr3:uid="{00000000-0010-0000-0200-000015000000}" name="No_of_props_total" dataDxfId="446">
      <calculatedColumnFormula>'Project Info'!$B$64</calculatedColumnFormula>
    </tableColumn>
    <tableColumn id="22" xr3:uid="{00000000-0010-0000-0200-000016000000}" name="Leaseholders" dataDxfId="445">
      <calculatedColumnFormula>'Project Info'!$B$66</calculatedColumnFormula>
    </tableColumn>
    <tableColumn id="24" xr3:uid="{00000000-0010-0000-0200-000018000000}" name="Price_split" dataDxfId="444">
      <calculatedColumnFormula>'Project Info'!$B$102</calculatedColumnFormula>
    </tableColumn>
    <tableColumn id="23" xr3:uid="{00000000-0010-0000-0200-000017000000}" name="Tech_split" dataDxfId="443">
      <calculatedColumnFormula>'Project Info'!$B$103</calculatedColumnFormula>
    </tableColumn>
    <tableColumn id="71" xr3:uid="{00000000-0010-0000-0200-000047000000}" name="Int_or_SV" dataDxfId="442">
      <calculatedColumnFormula>Int_or_SV</calculatedColumnFormula>
    </tableColumn>
    <tableColumn id="32" xr3:uid="{00000000-0010-0000-0200-000020000000}" name="Tupe" dataDxfId="441">
      <calculatedColumnFormula>TUPE</calculatedColumnFormula>
    </tableColumn>
    <tableColumn id="33" xr3:uid="{00000000-0010-0000-0200-000021000000}" name="Tupe_info" dataDxfId="440">
      <calculatedColumnFormula>'Project Info'!$B$61</calculatedColumnFormula>
    </tableColumn>
    <tableColumn id="34" xr3:uid="{00000000-0010-0000-0200-000022000000}" name="Insurance_Employers" dataDxfId="439" dataCellStyle="Currency">
      <calculatedColumnFormula>'Project Info'!$B$68</calculatedColumnFormula>
    </tableColumn>
    <tableColumn id="35" xr3:uid="{00000000-0010-0000-0200-000023000000}" name="Insurance_third" dataDxfId="438" dataCellStyle="Currency">
      <calculatedColumnFormula>'Project Info'!$B$69</calculatedColumnFormula>
    </tableColumn>
    <tableColumn id="36" xr3:uid="{00000000-0010-0000-0200-000024000000}" name="Insurance_PI" dataDxfId="437" dataCellStyle="Currency">
      <calculatedColumnFormula>'Project Info'!$B$70</calculatedColumnFormula>
    </tableColumn>
    <tableColumn id="175" xr3:uid="{8496B226-137B-4A02-B43D-1A5F39CA5AFB}" name="Insurance_Product" dataDxfId="436" dataCellStyle="Currency">
      <calculatedColumnFormula>'Project Info'!$B$71</calculatedColumnFormula>
    </tableColumn>
    <tableColumn id="130" xr3:uid="{5CFFA4BA-B1D5-42AA-878C-1158F226AD95}" name="Fin_Check" dataDxfId="435" dataCellStyle="Currency">
      <calculatedColumnFormula>Fin_Check</calculatedColumnFormula>
    </tableColumn>
    <tableColumn id="103" xr3:uid="{00000000-0010-0000-0200-000067000000}" name="Advertised?" dataDxfId="434" dataCellStyle="Currency">
      <calculatedColumnFormula>IF('Project Info'!$B$16&lt;&gt;"", IF(OR('Project Info'!$B$16="Yes-Above", 'Project Info'!$B$16="Yes-Below (works only)"), "Yes", "No"), "")</calculatedColumnFormula>
    </tableColumn>
    <tableColumn id="131" xr3:uid="{6DA1C805-6AE9-498F-B8C3-2D2C0C6BBE9D}" name="Portal" dataDxfId="433">
      <calculatedColumnFormula>IF('Project Info'!$C$19&lt;&gt;"", 'Project Info'!$C$19, 'Project Info'!$B$19)</calculatedColumnFormula>
    </tableColumn>
    <tableColumn id="69" xr3:uid="{00000000-0010-0000-0200-000045000000}" name="SQ_Issue_date" dataDxfId="432">
      <calculatedColumnFormula array="1">INDEX(TBL_002_Dates[Date], MATCH(1, ("SQ"=TBL_002_Dates[Stage])*("Issue"=TBL_002_Dates[Activity]),0))</calculatedColumnFormula>
    </tableColumn>
    <tableColumn id="68" xr3:uid="{00000000-0010-0000-0200-000044000000}" name="SQ_Clarification_deadline" dataDxfId="431">
      <calculatedColumnFormula array="1">INDEX(TBL_002_Dates[Date], MATCH(1, ("SQ"=TBL_002_Dates[Stage])*("Clarification"=TBL_002_Dates[Activity]),0))</calculatedColumnFormula>
    </tableColumn>
    <tableColumn id="67" xr3:uid="{00000000-0010-0000-0200-000043000000}" name="SQ_Return_date" dataDxfId="430">
      <calculatedColumnFormula array="1">INDEX(TBL_002_Dates[Date], MATCH(1, ("SQ"=TBL_002_Dates[Stage])*("Return"=TBL_002_Dates[Activity]),0))</calculatedColumnFormula>
    </tableColumn>
    <tableColumn id="66" xr3:uid="{00000000-0010-0000-0200-000042000000}" name="SQ_Return_time" dataDxfId="429">
      <calculatedColumnFormula array="1">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calculatedColumnFormula>
    </tableColumn>
    <tableColumn id="54" xr3:uid="{00000000-0010-0000-0200-000036000000}" name="SQ_Evaluation_start" dataDxfId="428">
      <calculatedColumnFormula array="1">INDEX(TBL_002_Dates[Date], MATCH(1, ("SQ"=TBL_002_Dates[Stage])*("Eval_start"=TBL_002_Dates[Activity]),0))</calculatedColumnFormula>
    </tableColumn>
    <tableColumn id="53" xr3:uid="{00000000-0010-0000-0200-000035000000}" name="SQ_Evaluation_end" dataDxfId="427">
      <calculatedColumnFormula array="1">INDEX(TBL_002_Dates[Date], MATCH(1, ("SQ"=TBL_002_Dates[Stage])*("Eval_end"=TBL_002_Dates[Activity]),0))</calculatedColumnFormula>
    </tableColumn>
    <tableColumn id="79" xr3:uid="{00000000-0010-0000-0200-00004F000000}" name="SQ_Feedback" dataDxfId="426">
      <calculatedColumnFormula array="1">INDEX(TBL_002_Dates[Date], MATCH(1, ("SQ"=TBL_002_Dates[Stage])*("Feedback"=TBL_002_Dates[Activity]),0))</calculatedColumnFormula>
    </tableColumn>
    <tableColumn id="37" xr3:uid="{00000000-0010-0000-0200-000025000000}" name="Issue_date" dataDxfId="425">
      <calculatedColumnFormula array="1">INDEX(TBL_002_Dates[Date], MATCH(1, ("ITT"=TBL_002_Dates[Stage])*("Issue"=TBL_002_Dates[Activity]),0))</calculatedColumnFormula>
    </tableColumn>
    <tableColumn id="38" xr3:uid="{00000000-0010-0000-0200-000026000000}" name="Clarification_deadline" dataDxfId="424">
      <calculatedColumnFormula array="1">INDEX(TBL_002_Dates[Date], MATCH(1, ("ITT"=TBL_002_Dates[Stage])*("Clarification"=TBL_002_Dates[Activity]),0))</calculatedColumnFormula>
    </tableColumn>
    <tableColumn id="39" xr3:uid="{00000000-0010-0000-0200-000027000000}" name="Return_date" dataDxfId="423">
      <calculatedColumnFormula array="1">INDEX(TBL_002_Dates[Date], MATCH(1, ("ITT"=TBL_002_Dates[Stage])*("Return"=TBL_002_Dates[Activity]),0))</calculatedColumnFormula>
    </tableColumn>
    <tableColumn id="63" xr3:uid="{00000000-0010-0000-0200-00003F000000}" name="Return_time" dataDxfId="422">
      <calculatedColumnFormula array="1">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calculatedColumnFormula>
    </tableColumn>
    <tableColumn id="40" xr3:uid="{00000000-0010-0000-0200-000028000000}" name="Evaluation_start" dataDxfId="421">
      <calculatedColumnFormula array="1">INDEX(TBL_002_Dates[Date], MATCH(1, ("ITT"=TBL_002_Dates[Stage])*("Eval_start"=TBL_002_Dates[Activity]),0))</calculatedColumnFormula>
    </tableColumn>
    <tableColumn id="41" xr3:uid="{00000000-0010-0000-0200-000029000000}" name="Evaluation_end" dataDxfId="420">
      <calculatedColumnFormula array="1">INDEX(TBL_002_Dates[Date], MATCH(1, ("ITT"=TBL_002_Dates[Stage])*("Eval_end"=TBL_002_Dates[Activity]),0))</calculatedColumnFormula>
    </tableColumn>
    <tableColumn id="46" xr3:uid="{00000000-0010-0000-0200-00002E000000}" name="Final_Feedback" dataDxfId="419">
      <calculatedColumnFormula array="1">INDEX(TBL_002_Dates[Date], MATCH(1, ("Final"=TBL_002_Dates[Stage])*("Feedback"=TBL_002_Dates[Activity]),0))</calculatedColumnFormula>
    </tableColumn>
    <tableColumn id="133" xr3:uid="{6C1C0F31-28E7-479A-B405-DC936D5D5CD5}" name="Mob_Start" dataDxfId="418">
      <calculatedColumnFormula array="1">INDEX(TBL_002_Dates[Date], MATCH(1, ("Mob"=TBL_002_Dates[Stage])*("Start"=TBL_002_Dates[Activity]),0))</calculatedColumnFormula>
    </tableColumn>
    <tableColumn id="31" xr3:uid="{00000000-0010-0000-0200-00001F000000}" name="Mob_end" dataDxfId="417">
      <calculatedColumnFormula>IF(OR(TBL_003_DocMerge[[#This Row],[Contract_commences]]-1=7, TBL_003_DocMerge[[#This Row],[Contract_commences]]-1=1), IF(TBL_003_DocMerge[[#This Row],[Contract_commences]]-2=7,TBL_003_DocMerge[[#This Row],[Contract_commences]]-3, TBL_003_DocMerge[[#This Row],[Contract_commences]]-2), TBL_003_DocMerge[[#This Row],[Contract_commences]]-1)</calculatedColumnFormula>
    </tableColumn>
    <tableColumn id="48" xr3:uid="{00000000-0010-0000-0200-000030000000}" name="Contract_commences" dataDxfId="416">
      <calculatedColumnFormula array="1">INDEX(TBL_002_Dates[Date], MATCH(1, ("Commence"=TBL_002_Dates[Stage])*("Commence"=TBL_002_Dates[Activity]),0))</calculatedColumnFormula>
    </tableColumn>
    <tableColumn id="61" xr3:uid="{00000000-0010-0000-0200-00003D000000}" name="commence_month" dataDxfId="415">
      <calculatedColumnFormula>VLOOKUP(MONTH(TBL_003_DocMerge[[#This Row],[Contract_commences]]), TBL_005_Month[], 2, FALSE)</calculatedColumnFormula>
    </tableColumn>
    <tableColumn id="30" xr3:uid="{00000000-0010-0000-0200-00001E000000}" name="commence_year" dataDxfId="414">
      <calculatedColumnFormula>YEAR(TBL_003_DocMerge[[#This Row],[Contract_commences]])</calculatedColumnFormula>
    </tableColumn>
    <tableColumn id="72" xr3:uid="{00000000-0010-0000-0200-000048000000}" name="Marks" dataDxfId="413">
      <calculatedColumnFormula>marks</calculatedColumnFormula>
    </tableColumn>
    <tableColumn id="125" xr3:uid="{39D7C946-37EB-4F39-961E-457E1E2B817F}" name="SQ_Same_Qs?" dataDxfId="412">
      <calculatedColumnFormula>SQ_Same_Qs?</calculatedColumnFormula>
    </tableColumn>
    <tableColumn id="187" xr3:uid="{A5B071C5-4F0B-49CA-BB84-71406F241B1C}" name="SQ_Same_Response?" dataDxfId="411">
      <calculatedColumnFormula>SQ_Same_Response?</calculatedColumnFormula>
    </tableColumn>
    <tableColumn id="126" xr3:uid="{6D9F36C3-F7BD-4E62-91BB-2D6656375947}" name="SQ_Weighted?" dataDxfId="410">
      <calculatedColumnFormula>SQ_Weighted?</calculatedColumnFormula>
    </tableColumn>
    <tableColumn id="183" xr3:uid="{7AFE3633-150E-4D78-8BD9-B1B6B311A955}" name="SQ_Marking" dataDxfId="409">
      <calculatedColumnFormula>'Project Info'!$B$113</calculatedColumnFormula>
    </tableColumn>
    <tableColumn id="19" xr3:uid="{607F0899-693E-4950-A90F-0214D60CD14B}" name="Lot_1_Name" dataDxfId="408">
      <calculatedColumnFormula array="1">IFERROR(INDEX(TBL_007_LotInfo[Name], MATCH(1, (TBL_007_LotInfo[No]=1)*(TBL_007_LotInfo[Include?]="Yes"),0)), "[Remove]")</calculatedColumnFormula>
    </tableColumn>
    <tableColumn id="73" xr3:uid="{3E30E0AC-CF23-45BB-B42B-8A888477D731}" name="Lot_1_Description" dataDxfId="407">
      <calculatedColumnFormula array="1">IFERROR(INDEX(TBL_007_LotInfo[Description], MATCH(1, (TBL_007_LotInfo[No]=1)*(TBL_007_LotInfo[Include?]="Yes"),0)), "[Remove]")</calculatedColumnFormula>
    </tableColumn>
    <tableColumn id="75" xr3:uid="{F9A5B616-2651-45DB-89D0-25D6ACA44251}" name="Lot_1_Approx" dataDxfId="406">
      <calculatedColumnFormula array="1">IFERROR(INDEX(TBL_007_LotInfo[Approx?], MATCH(1, (TBL_007_LotInfo[No]=1)*(TBL_007_LotInfo[Include?]="Yes"),0)), "[Remove]")</calculatedColumnFormula>
    </tableColumn>
    <tableColumn id="74" xr3:uid="{18FDEE0F-E4E2-46DE-B6E6-A82C1B8FD97C}" name="Lot_1_Props" dataDxfId="405">
      <calculatedColumnFormula array="1">IFERROR(INDEX(TBL_007_LotInfo[Props], MATCH(1, (TBL_007_LotInfo[No]=1)*(TBL_007_LotInfo[Include?]="Yes"),0)), "[Remove]")</calculatedColumnFormula>
    </tableColumn>
    <tableColumn id="220" xr3:uid="{2B9F0E33-E69A-46B6-A5A3-ED04B2F9CF08}" name="Lot_1_Type" dataDxfId="404"/>
    <tableColumn id="76" xr3:uid="{69AA19A4-4A9C-4724-B11E-65757E8D7BA7}" name="Lot_1_Value_type" dataDxfId="403">
      <calculatedColumnFormula array="1">IFERROR(INDEX(TBL_007_LotInfo[Value_type], MATCH(1, (TBL_007_LotInfo[No]=1)*(TBL_007_LotInfo[Include?]="Yes"),0)), "[Remove]")</calculatedColumnFormula>
    </tableColumn>
    <tableColumn id="77" xr3:uid="{876B93E4-7361-4B91-A5F8-3464AB9BDCDA}" name="Lot_1_Value_Max" dataDxfId="402">
      <calculatedColumnFormula array="1">IFERROR(INDEX(TBL_007_LotInfo[Value_Max], MATCH(1, (TBL_007_LotInfo[No]=1)*(TBL_007_LotInfo[Include?]="Yes"),0)), "[Remove]")</calculatedColumnFormula>
    </tableColumn>
    <tableColumn id="80" xr3:uid="{78ABCE5A-6F5D-49A8-8F7C-4FF54A17CDC3}" name="Lot_1_Value_Min" dataDxfId="401">
      <calculatedColumnFormula array="1">IFERROR(INDEX(TBL_007_LotInfo[Value_Min], MATCH(1, (TBL_007_LotInfo[No]=1)*(TBL_007_LotInfo[Include?]="Yes"),0)), "[Remove]")</calculatedColumnFormula>
    </tableColumn>
    <tableColumn id="81" xr3:uid="{2CFDDAC8-3EC4-4BAD-B00D-A25DBD5D36B7}" name="Lot_1_Cons_Min" dataDxfId="400">
      <calculatedColumnFormula array="1">IFERROR(IF(INDEX(TBL_007_LotInfo[Cons_Min], MATCH(1, (TBL_007_LotInfo[No]=1)*(TBL_007_LotInfo[Include?]="Yes"),0))&gt;10, INDEX(TBL_007_LotInfo[Cons_Min], MATCH(1, (TBL_007_LotInfo[No]=1)*(TBL_007_LotInfo[Include?]="Yes"),0)), VLOOKUP(INDEX(TBL_007_LotInfo[Cons_Min], MATCH(1, (TBL_007_LotInfo[No]=1)*(TBL_007_LotInfo[Include?]="Yes"),0)), TBL_004_nolookup[], 2, FALSE)), "[Remove]")</calculatedColumnFormula>
    </tableColumn>
    <tableColumn id="82" xr3:uid="{03661E20-333B-493B-8B21-F76DA62DC271}" name="Lot_1_Cons_Max" dataDxfId="399">
      <calculatedColumnFormula array="1">IFERROR(IF(INDEX(TBL_007_LotInfo[Cons_Max], MATCH(1, (TBL_007_LotInfo[No]=1)*(TBL_007_LotInfo[Include?]="Yes"),0))&gt;10, INDEX(TBL_007_LotInfo[Cons_Max], MATCH(1, (TBL_007_LotInfo[No]=1)*(TBL_007_LotInfo[Include?]="Yes"),0)), VLOOKUP(INDEX(TBL_007_LotInfo[Cons_Max], MATCH(1, (TBL_007_LotInfo[No]=1)*(TBL_007_LotInfo[Include?]="Yes"),0)), TBL_004_nolookup[], 2, FALSE)), "[Remove]")</calculatedColumnFormula>
    </tableColumn>
    <tableColumn id="83" xr3:uid="{22E2093C-65E5-4B98-96D6-FAF511EDBBD1}" name="Lot_2_Name" dataDxfId="398"/>
    <tableColumn id="84" xr3:uid="{0C77A68E-B2D0-4E0C-A18C-396FF94949B0}" name="Lot_2_Description" dataDxfId="397"/>
    <tableColumn id="86" xr3:uid="{504C40DD-AB1A-49BC-8B15-CB4B69FBD865}" name="Lot_2_Approx" dataDxfId="396"/>
    <tableColumn id="85" xr3:uid="{2BE6E4FB-67A7-4A0B-AE3E-1B2211E350D3}" name="Lot_2_Props" dataDxfId="395"/>
    <tableColumn id="221" xr3:uid="{346AEAE9-DA58-4EA1-8BE3-03AC8AA0F43A}" name="Lot_2_Type" dataDxfId="394"/>
    <tableColumn id="87" xr3:uid="{53CAB791-65C6-4603-A425-06A7D886FF73}" name="Lot_2_Value_type" dataDxfId="393"/>
    <tableColumn id="88" xr3:uid="{9EF4D303-E428-4100-9D38-1CEB7FBA5090}" name="Lot_2_Value_Max" dataDxfId="392"/>
    <tableColumn id="89" xr3:uid="{CBD45008-0095-4615-88B4-EA13509767EA}" name="Lot_2_Value_Min" dataDxfId="391"/>
    <tableColumn id="90" xr3:uid="{16EA9178-4031-4D2F-9ADD-28BC81995605}" name="Lot_2_Cons_Min" dataDxfId="390"/>
    <tableColumn id="91" xr3:uid="{67C8A1DE-A4AD-4083-81C3-AA1421850548}" name="Lot_2_Cons_Max" dataDxfId="389"/>
    <tableColumn id="92" xr3:uid="{72852614-87F3-4D86-936F-0418FD0F5496}" name="Lot_3_Name" dataDxfId="388"/>
    <tableColumn id="93" xr3:uid="{347838B2-F108-433B-B89E-F11E541B898D}" name="Lot_3_Description" dataDxfId="387"/>
    <tableColumn id="95" xr3:uid="{A65B74A4-3F82-481E-BFB6-DF1C62C4B68A}" name="Lot_3_Approx" dataDxfId="386"/>
    <tableColumn id="94" xr3:uid="{E39B74EC-8639-4442-84B2-1331C926BBD0}" name="Lot_3_Props" dataDxfId="385"/>
    <tableColumn id="222" xr3:uid="{B5D0B6C5-2365-4F33-887F-82E6210B4A5F}" name="Lot_3_Type" dataDxfId="384"/>
    <tableColumn id="98" xr3:uid="{377FAD36-EC65-4FBF-ABAC-534502D47468}" name="Lot_3_Value_type" dataDxfId="383"/>
    <tableColumn id="99" xr3:uid="{F43DF265-C822-4E2A-B782-A56DFB039567}" name="Lot_3_Value_Max" dataDxfId="382"/>
    <tableColumn id="100" xr3:uid="{DA971FA2-EE03-446A-BC07-8F605422C5C0}" name="Lot_3_Value_Min" dataDxfId="381"/>
    <tableColumn id="101" xr3:uid="{2F4EB183-5233-4273-A529-718010E8A2C8}" name="Lot_3_Cons_Min" dataDxfId="380"/>
    <tableColumn id="102" xr3:uid="{63BC6CFB-4EBC-4B9D-84CD-D155737A6F3C}" name="Lot_3_Cons_Max" dataDxfId="379"/>
    <tableColumn id="107" xr3:uid="{E202A8F9-947F-4B9F-8187-932F10704C43}" name="Lot_4_Name" dataDxfId="378"/>
    <tableColumn id="108" xr3:uid="{DC7F236F-F839-4DCC-A687-B5064AE0C7E4}" name="Lot_4_Description" dataDxfId="377"/>
    <tableColumn id="110" xr3:uid="{591F9A48-D6FC-4785-94F7-20FD62EF8558}" name="Lot_4_Approx" dataDxfId="376"/>
    <tableColumn id="109" xr3:uid="{D079D052-CBEA-4BFD-B642-0566D094447E}" name="Lot_4_Props" dataDxfId="375"/>
    <tableColumn id="70" xr3:uid="{E2BE61B0-2847-48D1-B4FA-9F72AC28584D}" name="Lot_4_Type" dataDxfId="374"/>
    <tableColumn id="111" xr3:uid="{91EC6F33-B64C-434F-9A2D-2F39E3BBA594}" name="Lot_4_Value_type" dataDxfId="373"/>
    <tableColumn id="112" xr3:uid="{8EF86381-D42E-41E5-8382-FD0BDDD71AA1}" name="Lot_4_Value_Max" dataDxfId="372"/>
    <tableColumn id="113" xr3:uid="{A1F6C291-EE3D-49C5-B8A7-3C363A441170}" name="Lot_4_Value_Min" dataDxfId="371"/>
    <tableColumn id="114" xr3:uid="{BF897D4D-CCF3-49BE-8B9D-10F597F8740E}" name="Lot_4_Cons_Min" dataDxfId="370"/>
    <tableColumn id="115" xr3:uid="{CA110089-B6F7-4060-823E-4F9843C2C7D6}" name="Lot_4_Cons_Max" dataDxfId="369"/>
    <tableColumn id="116" xr3:uid="{80432A74-54DF-4241-8685-A250EEACC74B}" name="Lot_5_Name" dataDxfId="368"/>
    <tableColumn id="117" xr3:uid="{D3CA762C-142C-4CF0-9BB2-D6546388D0F6}" name="Lot_5_Description" dataDxfId="367"/>
    <tableColumn id="119" xr3:uid="{3A2C07AC-CADE-4487-89BC-08F476FAB8FD}" name="Lot_5_Approx" dataDxfId="366"/>
    <tableColumn id="118" xr3:uid="{23594D18-66D7-4B4B-9E7B-467F6FE1B2F9}" name="Lot_5_Props" dataDxfId="365"/>
    <tableColumn id="223" xr3:uid="{76CE6821-EA6C-48F1-8FDA-3046A386EB75}" name="Lot_5_Type" dataDxfId="364"/>
    <tableColumn id="120" xr3:uid="{39D875E3-7941-4327-B654-5ED81CFAC1ED}" name="Lot_5_Value_type" dataDxfId="363"/>
    <tableColumn id="121" xr3:uid="{880EEE6A-5913-460A-B986-ABEBDCAE83B0}" name="Lot_5_Value_Max" dataDxfId="362"/>
    <tableColumn id="122" xr3:uid="{E90EBFFC-815A-4FAA-B612-78259392303F}" name="Lot_5_Value_Min" dataDxfId="361"/>
    <tableColumn id="123" xr3:uid="{6C751073-C067-4994-9A6D-63E34F3E402F}" name="Lot_5_Cons_Min" dataDxfId="360"/>
    <tableColumn id="124" xr3:uid="{080899BD-9FAF-4EAA-BD75-29CE803E2C9A}" name="Lot_5_Cons_Max" dataDxfId="359"/>
    <tableColumn id="219" xr3:uid="{2619F7A1-E78E-4423-9212-AB396DEC44C2}" name="Lot_6_Name" dataDxfId="358"/>
    <tableColumn id="218" xr3:uid="{622C449D-C34C-4A90-9B24-E4D65607CEE3}" name="Lot_6_Description" dataDxfId="357"/>
    <tableColumn id="217" xr3:uid="{EFA37DF5-BAA6-4565-B430-8993D00B312B}" name="Lot_6_Approx" dataDxfId="356"/>
    <tableColumn id="216" xr3:uid="{E06116F2-A485-43B1-BC6C-9BF2D5CDE91F}" name="Lot_6_Props" dataDxfId="355"/>
    <tableColumn id="215" xr3:uid="{51B9564B-0452-4CB8-9CD5-CB81FFA9B184}" name="Lot_6_Type" dataDxfId="354"/>
    <tableColumn id="214" xr3:uid="{8989FD4B-9200-4249-A3F0-FD05E3465CA4}" name="Lot_6_Value_type" dataDxfId="353"/>
    <tableColumn id="6" xr3:uid="{B6266C8F-ABF3-4178-A7F8-005F7DD2AE0D}" name="Lot_6_Value_Max" dataDxfId="352"/>
    <tableColumn id="12" xr3:uid="{F6474959-3403-4AC6-BC03-BE50368C4011}" name="Lot_6_Value_Min" dataDxfId="351"/>
    <tableColumn id="25" xr3:uid="{F6577BC3-A9A4-46D6-AA34-8AB3ECDA5F9C}" name="Lot_6_Cons_Min" dataDxfId="350"/>
    <tableColumn id="27" xr3:uid="{BA74D372-2A2B-4A55-B827-FCF16DF5346A}" name="Lot_6_Cons_Max" dataDxfId="349"/>
    <tableColumn id="26" xr3:uid="{2B3906D7-0827-47E5-93D3-ED366B698654}" name="Limit_Award?" dataDxfId="348">
      <calculatedColumnFormula>'Project Info'!$B$27</calculatedColumnFormula>
    </tableColumn>
    <tableColumn id="127" xr3:uid="{36B4D492-81FD-45DF-BAD8-38FAC845522F}" name="Max_Award" dataDxfId="347">
      <calculatedColumnFormula>IF(TBL_003_DocMerge[[#This Row],[Limit_Award?]]="Yes", IF('Project Info'!$B$28&lt;=10, VLOOKUP('Project Info'!$B$28, TBL_004_nolookup[], 2, FALSE), 'Project Info'!$B$28), "N/A")</calculatedColumnFormula>
    </tableColumn>
    <tableColumn id="178" xr3:uid="{BA7380EB-754F-411E-A0A6-B44AC077F878}" name="Tender_Stage" dataDxfId="346">
      <calculatedColumnFormula>'Project Info'!$B$20</calculatedColumnFormula>
    </tableColumn>
    <tableColumn id="132" xr3:uid="{8B83BBFD-16FE-4430-9854-979F96FE0AD7}" name="Supplier_Type" dataDxfId="345">
      <calculatedColumnFormula>IF(TBL_003_DocMerge[[#This Row],[Tender_Stage]]="SQ", "Candidate", "Tenderer")</calculatedColumnFormula>
    </tableColumn>
    <tableColumn id="181" xr3:uid="{492E5C2A-B2E1-4076-90C4-8C367C9273F3}" name="Supplier_Name" dataDxfId="344">
      <calculatedColumnFormula>IF(OR('Project Info'!$B$18="Open Procedure", 'Project Info'!$B$20="SQ", ), IF('Project Info'!$B$17="SQ", IF('Part 1_Supplier Info'!$C$9&lt;&gt;"", 'Part 1_Supplier Info'!$C$9, ""), IF('Project Info'!$B$17="PAS", IF(#REF!&lt;&gt;"",#REF!, ""),  IF(#REF!&lt;&gt;"",#REF!, ""))), IF(#REF!&lt;&gt;"",#REF!, ""))</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46BA0F-B9B1-4C41-845E-C65DD22D0C3C}" name="TBL_007_LotInfo" displayName="TBL_007_LotInfo" ref="A1:R7" totalsRowShown="0">
  <autoFilter ref="A1:R7" xr:uid="{DD4209B4-1491-4EE2-88F8-6B647C4DA2F0}"/>
  <tableColumns count="18">
    <tableColumn id="1" xr3:uid="{1E9365D0-B1AC-48CC-9765-5117883573EC}" name="No" dataDxfId="343"/>
    <tableColumn id="2" xr3:uid="{4F9B99F9-3AE0-4A09-ABC3-769597D9267F}" name="Include?">
      <calculatedColumnFormula>IF(No_Lots?&gt;=1, "Yes", "No")</calculatedColumnFormula>
    </tableColumn>
    <tableColumn id="3" xr3:uid="{01CBE459-33D7-48B5-837B-EA6308FBF1C5}" name="Name" dataDxfId="342"/>
    <tableColumn id="4" xr3:uid="{AB8EE428-A6C5-4A19-A7BD-6EF79EBEEF5F}" name="Description" dataDxfId="341"/>
    <tableColumn id="6" xr3:uid="{AACF5F56-881F-44B1-945A-D5627F366885}" name="Approx?" dataDxfId="340"/>
    <tableColumn id="5" xr3:uid="{98242086-7000-46E7-86FD-981A89B75B64}" name="Props" dataDxfId="339"/>
    <tableColumn id="18" xr3:uid="{98F01B0A-A3A2-4F75-BE03-07240B6EC834}" name="Type_Prop" dataDxfId="338"/>
    <tableColumn id="7" xr3:uid="{0DDDDD6E-30BA-455D-8C5E-1072080AD920}" name="Value_type" dataDxfId="337"/>
    <tableColumn id="8" xr3:uid="{1CF3CE5E-FCA9-4BBD-8DBD-8746877F3BB2}" name="Value_Max" dataDxfId="336" dataCellStyle="Currency"/>
    <tableColumn id="9" xr3:uid="{891A3262-3B79-4C54-8D66-28395D0ED95F}" name="Value_Min" dataDxfId="335" dataCellStyle="Currency"/>
    <tableColumn id="17" xr3:uid="{6E44E163-9E61-4482-A703-260234FDDB78}" name="ITT_Min" dataDxfId="334" dataCellStyle="Currency"/>
    <tableColumn id="16" xr3:uid="{3CCF9873-8162-4BA7-A03B-2B658054DB8F}" name="ITT_Max" dataDxfId="333" dataCellStyle="Currency"/>
    <tableColumn id="15" xr3:uid="{5D74016A-8706-46E1-BCD0-4637870F6433}" name="Neg_Min" dataDxfId="332" dataCellStyle="Currency"/>
    <tableColumn id="14" xr3:uid="{DE431224-93DD-4CE0-9C09-424162E3BDE8}" name="Neg_Max" dataDxfId="331" dataCellStyle="Currency"/>
    <tableColumn id="13" xr3:uid="{559AB118-B69A-4FB7-BE4A-6067475CA81E}" name="ISFT_Min" dataDxfId="330" dataCellStyle="Currency"/>
    <tableColumn id="10" xr3:uid="{84C2B768-BBF9-44E6-994E-314ED256E5EE}" name="ISFT_Max" dataDxfId="329" dataCellStyle="Currency"/>
    <tableColumn id="11" xr3:uid="{AB583B25-3A88-4867-9A67-6DD912B1E68D}" name="Cons_Min" dataDxfId="328">
      <calculatedColumnFormula>IF(TBL_007_LotInfo[[#This Row],[Include?]]="Yes", IF('Project Info'!$B$136&lt;&gt;"", 'Project Info'!$B$136, ""), "N/A")</calculatedColumnFormula>
    </tableColumn>
    <tableColumn id="12" xr3:uid="{7718EDD8-EECE-4608-A975-AD0B3D976BEA}" name="Cons_Max" dataDxfId="327">
      <calculatedColumnFormula>IF(TBL_007_LotInfo[[#This Row],[Include?]]="Yes", IF('Project Info'!$B$137&lt;&gt;"", 'Project Info'!$B$137, ""), "N/A")</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004_nolookup" displayName="TBL_004_nolookup" ref="A1:B11" totalsRowShown="0" headerRowDxfId="326" dataDxfId="325">
  <autoFilter ref="A1:B11" xr:uid="{00000000-0009-0000-0100-000004000000}"/>
  <sortState xmlns:xlrd2="http://schemas.microsoft.com/office/spreadsheetml/2017/richdata2" ref="A2:B11">
    <sortCondition ref="A1:A11"/>
  </sortState>
  <tableColumns count="2">
    <tableColumn id="1" xr3:uid="{00000000-0010-0000-0300-000001000000}" name="Number" dataDxfId="324"/>
    <tableColumn id="2" xr3:uid="{00000000-0010-0000-0300-000002000000}" name="Text" dataDxfId="32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005_Month" displayName="TBL_005_Month" ref="A13:B25" totalsRowShown="0" headerRowDxfId="322" dataDxfId="321">
  <autoFilter ref="A13:B25" xr:uid="{00000000-0009-0000-0100-000005000000}"/>
  <tableColumns count="2">
    <tableColumn id="1" xr3:uid="{00000000-0010-0000-0400-000001000000}" name="Number" dataDxfId="320"/>
    <tableColumn id="2" xr3:uid="{00000000-0010-0000-0400-000002000000}" name="Month" dataDxfId="31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BL_006_Weekday" displayName="TBL_006_Weekday" ref="A27:B34" totalsRowShown="0" headerRowDxfId="318" dataDxfId="316" headerRowBorderDxfId="317" tableBorderDxfId="315" totalsRowBorderDxfId="314">
  <autoFilter ref="A27:B34" xr:uid="{00000000-0009-0000-0100-000007000000}"/>
  <tableColumns count="2">
    <tableColumn id="1" xr3:uid="{00000000-0010-0000-0500-000001000000}" name="Number" dataDxfId="313"/>
    <tableColumn id="2" xr3:uid="{00000000-0010-0000-0500-000002000000}" name="Weekday" dataDxfId="31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120E54D-98EF-433C-8A37-1142FC061CEC}" name="TBL_030_Resources" displayName="TBL_030_Resources" ref="A36:B48" totalsRowShown="0" headerRowDxfId="311" dataDxfId="310">
  <autoFilter ref="A36:B48" xr:uid="{1B8701F3-17D4-4082-97A8-40E29983E794}"/>
  <sortState xmlns:xlrd2="http://schemas.microsoft.com/office/spreadsheetml/2017/richdata2" ref="A37:B47">
    <sortCondition ref="A36:A47"/>
  </sortState>
  <tableColumns count="2">
    <tableColumn id="2" xr3:uid="{1202BB87-2D59-47DD-ADEA-ABF2488175B3}" name="Name" dataDxfId="309"/>
    <tableColumn id="3" xr3:uid="{AD65750E-035F-45F2-B4E7-642B4442BD39}" name="Job_Title" dataDxfId="30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19F5D99-1B60-4416-BF5C-B92993663948}" name="TBL_033_Offices" displayName="TBL_033_Offices" ref="A50:C55" totalsRowShown="0" headerRowDxfId="307" dataDxfId="306">
  <autoFilter ref="A50:C55" xr:uid="{F3F89A92-B35B-4486-8DDD-6F38940CDE3A}"/>
  <sortState xmlns:xlrd2="http://schemas.microsoft.com/office/spreadsheetml/2017/richdata2" ref="A51:C55">
    <sortCondition ref="A48:A53"/>
  </sortState>
  <tableColumns count="3">
    <tableColumn id="1" xr3:uid="{1670E562-0B91-4FE2-B914-BCFB4184DB3B}" name="Offices" dataDxfId="305"/>
    <tableColumn id="2" xr3:uid="{2E3B5CA4-2FC9-43EE-82A0-604E56A37535}" name="Address" dataDxfId="304"/>
    <tableColumn id="3" xr3:uid="{C58583D5-8B3E-4BA8-B77B-9AA5061EAC73}" name="Tel" dataDxfId="30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31090EF-82EC-4192-9BD0-FB948E44A9D4}" name="TBL_034_Procedures" displayName="TBL_034_Procedures" ref="F1:G4" totalsRowShown="0" headerRowDxfId="302" dataDxfId="301">
  <autoFilter ref="F1:G4" xr:uid="{4FDE8544-211F-44CF-A623-120422F5BEA6}"/>
  <sortState xmlns:xlrd2="http://schemas.microsoft.com/office/spreadsheetml/2017/richdata2" ref="F2:G4">
    <sortCondition ref="F1:F4"/>
  </sortState>
  <tableColumns count="2">
    <tableColumn id="1" xr3:uid="{68C41A7E-8CA3-4861-B4A4-3FCC2168A8C4}" name="Procedure" dataDxfId="300"/>
    <tableColumn id="2" xr3:uid="{B7979986-352C-40CD-9654-F0451B230533}" name="Min. to Tender" dataDxfId="29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98C75BC-FB62-43A6-A0DA-1361B2C53311}" name="TBL_008_Qs_Lot_1" displayName="TBL_008_Qs_Lot_1" ref="A1:N312" totalsRowShown="0" headerRowDxfId="295" dataDxfId="294" tableBorderDxfId="293">
  <autoFilter ref="A1:N312" xr:uid="{25D729DB-9EA0-409D-B89A-1EDA2BD50D57}"/>
  <tableColumns count="14">
    <tableColumn id="1" xr3:uid="{40E3F0A4-41EC-406A-B95C-C11B1D27019D}" name="Q." dataDxfId="292"/>
    <tableColumn id="2" xr3:uid="{D2F4997E-14AF-4FFA-BEB4-15838351ECC7}" name="Question / Sub-question" dataDxfId="291"/>
    <tableColumn id="3" xr3:uid="{1BD5236F-E195-4F37-B299-DC3DF7ABE68A}" name="Maximum marks available" dataDxfId="290"/>
    <tableColumn id="10" xr3:uid="{6457EBEA-9F9D-499A-B95F-695C84CA1638}" name="App_sub-qs" dataDxfId="289"/>
    <tableColumn id="7" xr3:uid="{DFF3E4DD-8F3C-4AD2-B4FA-71F9C97C8ADE}" name="App_pages" dataDxfId="288"/>
    <tableColumn id="6" xr3:uid="{6167D975-6C28-4EE6-BE7E-D1B8A73A943F}" name="Word limit" dataDxfId="287"/>
    <tableColumn id="11" xr3:uid="{CC19837D-2A45-4CBF-A539-76ACEDBC993F}" name="Weighting" dataDxfId="286">
      <calculatedColumnFormula>IF(TBL_008_Qs_Lot_1[[#This Row],[Type]]="Question", IF(SQ_Weighted?="Yes", "", "N/A"), "")</calculatedColumnFormula>
    </tableColumn>
    <tableColumn id="4" xr3:uid="{5BD177FA-544E-4DB3-9DF9-C3DE3FC2D85D}" name="No.subs" dataDxfId="285"/>
    <tableColumn id="5" xr3:uid="{ECA09C92-A23C-4A68-94B9-519A0CF165A8}" name="Max score" dataDxfId="284">
      <calculatedColumnFormula array="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calculatedColumnFormula>
    </tableColumn>
    <tableColumn id="8" xr3:uid="{6834EA3B-44C2-4C2B-9981-B80AB7FC5923}" name="Type" dataDxfId="283"/>
    <tableColumn id="9" xr3:uid="{4144378B-5826-452D-BDAC-33769CE987AC}" name="Q_No" dataDxfId="282"/>
    <tableColumn id="14" xr3:uid="{E590A0D7-0619-42CB-8C15-48276732CD5F}" name="Sub_No" dataDxfId="281"/>
    <tableColumn id="12" xr3:uid="{84211BE5-6688-4AD6-A72E-153B237567AE}" name="Section" dataDxfId="280"/>
    <tableColumn id="13" xr3:uid="{2BF4CC3F-6ADE-47AE-9E0D-D81F14C35F4E}" name="Required?" dataDxfId="27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A4C41C0-A7D7-482E-8ABF-6E76619AC9B0}" name="TBL_026_Lots" displayName="TBL_026_Lots" ref="A8:E14" totalsRowShown="0" headerRowDxfId="266" dataDxfId="264" headerRowBorderDxfId="265" tableBorderDxfId="263" totalsRowBorderDxfId="262">
  <autoFilter ref="A8:E14" xr:uid="{7DFD7445-B1DB-4672-A01B-8C772C10ED54}"/>
  <tableColumns count="5">
    <tableColumn id="1" xr3:uid="{5CEAD86B-C41C-4BE8-A30D-CA0E38DEE712}" name="Lot No." dataDxfId="261"/>
    <tableColumn id="2" xr3:uid="{2DB58AA8-4CDF-4480-9B47-7C29DD496865}" name="Name" dataDxfId="260">
      <calculatedColumnFormula array="1">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calculatedColumnFormula>
    </tableColumn>
    <tableColumn id="4" xr3:uid="{8835098A-60B0-443B-A01B-001747B5BB3E}" name="Yes/No" dataDxfId="259" dataCellStyle="Hyperlink"/>
    <tableColumn id="5" xr3:uid="{D950726C-639D-4163-895F-1045A00AB85B}" name="Lot" dataDxfId="258"/>
    <tableColumn id="6" xr3:uid="{7745DDF8-9614-41A7-AF39-2841A7CC80EB}" name="Included?" dataDxfId="25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2D4E08F-5C6D-4E0D-8407-97911A26BA9F}" name="TBL_SQ_Qs_Lot_1" displayName="TBL_SQ_Qs_Lot_1" ref="A20:L180" totalsRowShown="0" headerRowDxfId="232" dataDxfId="230" headerRowBorderDxfId="231" tableBorderDxfId="229">
  <autoFilter ref="A20:L180" xr:uid="{CBA0E9E1-A62C-4E6A-B1CC-DCF6C01758E9}">
    <filterColumn colId="11">
      <filters blank="1"/>
    </filterColumn>
  </autoFilter>
  <tableColumns count="12">
    <tableColumn id="1" xr3:uid="{27B22D01-1945-4D2F-9D6F-2D80FF67B0A9}" name="Q. No." dataDxfId="228"/>
    <tableColumn id="2" xr3:uid="{73C370D9-5C98-4403-B5E3-9F77573D0E1D}" name="Question" dataDxfId="227">
      <calculatedColumnFormula array="1">IF(OR(TBL_SQ_Qs_Lot_1[[#This Row],[Type]]="Question", TBL_SQ_Qs_Lot_1[[#This Row],[Type]]="Sub-question"), CONCATENATE(INDEX(TBL_008_Qs_Lot_1[Question / Sub-question], MATCH(1, (TBL_SQ_Qs_Lot_1[[#This Row],[Q. No.]]=TBL_008_Qs_Lot_1[Q.])*(TBL_SQ_Qs_Lot_1[[#This Row],[Type]]=TBL_008_Qs_Lot_1[Type]),0)), "
"), CONCATENATE($G$6,TBL_SQ_Qs_Lot_1[[#This Row],[Q. No.]],$G$7,TBL_SQ_Qs_Lot_1[[#This Row],[Score]],$G$8,TBL_SQ_Qs_Lot_1[[#This Row],[Subs]],$G$10,TBL_SQ_Qs_Lot_1[[#This Row],[App]],$G$11,marks,$G$12, IF(AND(TBL_SQ_Qs_Lot_1[[#This Row],[App_Q]]&lt;&gt;"", TBL_SQ_Qs_Lot_1[[#This Row],[Shade?]]&lt;&gt;""), IF(OR(TBL_SQ_Qs_Lot_1[[#This Row],[App_Q]]="N/A", TBL_SQ_Qs_Lot_1[[#This Row],[Shade?]]="N/A"), "", CONCATENATE(".  In addition, you may append ", TBL_SQ_Qs_Lot_1[[#This Row],[App_Q]], IF(TBL_SQ_Qs_Lot_1[[#This Row],[App_Q]]=1, " side of A3 paper or ", " sides of A3 paper or "),TBL_SQ_Qs_Lot_1[[#This Row],[App_Q]]*2, " sides of A4 paper to support your response to ", TBL_SQ_Qs_Lot_1[[#This Row],[Shade?]])), "")))</calculatedColumnFormula>
    </tableColumn>
    <tableColumn id="3" xr3:uid="{ABDF22EF-C469-43B1-9D34-E329B2E7EFA2}" name="Response" dataDxfId="226"/>
    <tableColumn id="5" xr3:uid="{B8C1443F-2564-42CA-9790-3FB39DA139A4}" name="Check" dataDxfId="225">
      <calculatedColumnFormula>IF(TBL_SQ_Qs_Lot_1[[#This Row],[Type]]="Question", IF(OR(TBL_SQ_Qs_Lot_1[[#This Row],[Shade?]]="Shade", TBL_SQ_Qs_Lot_1[[#This Row],[Question]]="Question not used
"), "", IF(TBL_SQ_Qs_Lot_1[[#This Row],[Response]]&lt;&gt;"", "Done", "Add")), "")</calculatedColumnFormula>
    </tableColumn>
    <tableColumn id="4" xr3:uid="{2735645B-9829-4F72-BA8E-AE96F4AD221E}" name="Type" dataDxfId="224"/>
    <tableColumn id="12" xr3:uid="{18D02BEE-41D4-4790-B38B-288204D77550}" name="Word limit" dataDxfId="223">
      <calculatedColumnFormula array="1">IF(TBL_SQ_Qs_Lot_1[[#This Row],[Type]]="Details", INDEX(TBL_008_Qs_Lot_1[Word limit], MATCH(1, (TBL_SQ_Qs_Lot_1[[#This Row],[Q. No.]]=TBL_008_Qs_Lot_1[Q.])*("Question"=TBL_008_Qs_Lot_1[Type]),0)), "")</calculatedColumnFormula>
    </tableColumn>
    <tableColumn id="6" xr3:uid="{7C37BC00-A0E0-4E6D-BC82-48A1BC463BA9}" name="Score" dataDxfId="222">
      <calculatedColumnFormula array="1">IF(TBL_SQ_Qs_Lot_1[[#This Row],[Type]]="Details", INDEX(TBL_008_Qs_Lot_1[Max score], MATCH(1, (TBL_SQ_Qs_Lot_1[[#This Row],[Q. No.]]=TBL_008_Qs_Lot_1[Q.])*("Question"=TBL_008_Qs_Lot_1[Type]),0)), "")</calculatedColumnFormula>
    </tableColumn>
    <tableColumn id="7" xr3:uid="{FE1CEDEE-9E3D-431A-BA56-FA5F9A64DAEC}" name="Subs" dataDxfId="221">
      <calculatedColumnFormula array="1">IF(TBL_SQ_Qs_Lot_1[[#This Row],[Type]]="Details", INDEX(TBL_008_Qs_Lot_1[No.subs], MATCH(1, (TBL_SQ_Qs_Lot_1[[#This Row],[Q. No.]]=TBL_008_Qs_Lot_1[Q.])*("Question"=TBL_008_Qs_Lot_1[Type]),0)), "")</calculatedColumnFormula>
    </tableColumn>
    <tableColumn id="8" xr3:uid="{242EFBC6-EF92-4DA6-A354-362BD00AD4FA}" name="App" dataDxfId="220">
      <calculatedColumnFormula array="1">IF(TBL_SQ_Qs_Lot_1[[#This Row],[Type]]="Details", IF(INDEX(TBL_008_Qs_Lot_1[App_pages], MATCH(1, (TBL_SQ_Qs_Lot_1[[#This Row],[Q. No.]]=TBL_008_Qs_Lot_1[Q.])*("Question"=TBL_008_Qs_Lot_1[Type]),0))&lt;&gt;"", INDEX(TBL_008_Qs_Lot_1[App_pages], MATCH(1, (TBL_SQ_Qs_Lot_1[[#This Row],[Q. No.]]=TBL_008_Qs_Lot_1[Q.])*("Question"=TBL_008_Qs_Lot_1[Type]),0)), ""), "")</calculatedColumnFormula>
    </tableColumn>
    <tableColumn id="9" xr3:uid="{2F353756-67CF-496C-992D-D8ECA104107B}" name="App_Q" dataDxfId="219">
      <calculatedColumnFormula array="1">IF(TBL_SQ_Qs_Lot_1[[#This Row],[Type]]="Details", IF(INDEX(TBL_008_Qs_Lot_1[App_sub-qs], MATCH(1, (TBL_SQ_Qs_Lot_1[[#This Row],[Q. No.]]=TBL_008_Qs_Lot_1[Q.])*("Question"=TBL_008_Qs_Lot_1[Type]),0))&lt;&gt;"", INDEX(TBL_008_Qs_Lot_1[App_sub-qs], MATCH(1, (TBL_SQ_Qs_Lot_1[[#This Row],[Q. No.]]=TBL_008_Qs_Lot_1[Q.])*("Question"=TBL_008_Qs_Lot_1[Type]),0)), ""), "")</calculatedColumnFormula>
    </tableColumn>
    <tableColumn id="11" xr3:uid="{55B97F7B-E8A8-4BB3-8E5E-1E90CEE0F488}" name="Weighting" dataDxfId="218">
      <calculatedColumnFormula array="1">IF(TBL_SQ_Qs_Lot_1[[#This Row],[Type]]="Details", INDEX(TBL_008_Qs_Lot_1[Weighting], MATCH(1, (TBL_SQ_Qs_Lot_1[[#This Row],[Q. No.]]=TBL_008_Qs_Lot_1[Q.])*("Question"=TBL_008_Qs_Lot_1[Type]),0)), "")</calculatedColumnFormula>
    </tableColumn>
    <tableColumn id="10" xr3:uid="{A48F7FB8-610D-4742-ADB3-0B3B8752F74D}" name="Shade?" dataDxfId="217">
      <calculatedColumnFormula>IF($H$4="No", "Shade", IF(OR(TBL_SQ_Qs_Lot_1[[#This Row],[Question]]="Not used
", AND(TBL_SQ_Qs_Lot_1[[#This Row],[Type]]="Details", TBL_SQ_Qs_Lot_1[[#This Row],[Subs]]=0)), "Shade", ""))</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E9A1C69-6011-44BB-A419-A53C36BA2091}" name="TBL_011_Response_SQ_1_1" displayName="TBL_011_Response_SQ_1_1" ref="A4:AK5" totalsRowShown="0" headerRowDxfId="200" dataDxfId="199">
  <autoFilter ref="A4:AK5" xr:uid="{00000000-0009-0000-0100-00000C000000}"/>
  <tableColumns count="37">
    <tableColumn id="47" xr3:uid="{3A73D6B0-B069-421E-AA9E-38FC961A7888}" name="1_1_Complete?" dataDxfId="198"/>
    <tableColumn id="2" xr3:uid="{A2E99981-DDE1-466E-92E6-52BCB6F9345E}" name="1_1_Tenderer" dataDxfId="197">
      <calculatedColumnFormula>IF('Part 1_Supplier Info'!$C$9&lt;&gt;"", 'Part 1_Supplier Info'!$C$9, "")</calculatedColumnFormula>
    </tableColumn>
    <tableColumn id="3" xr3:uid="{8832485D-B9C7-4DD8-879E-7FC81A742EA0}" name="1_1_Reg_Address" dataDxfId="196">
      <calculatedColumnFormula>IF('Part 1_Supplier Info'!$C$10&lt;&gt;"", 'Part 1_Supplier Info'!$C$10, "")</calculatedColumnFormula>
    </tableColumn>
    <tableColumn id="15" xr3:uid="{7E073E35-8A1F-435E-9192-E14C19970540}" name="1_1_Website" dataDxfId="195">
      <calculatedColumnFormula>IF('Part 1_Supplier Info'!$C$11&lt;&gt;"", 'Part 1_Supplier Info'!$C$11, "")</calculatedColumnFormula>
    </tableColumn>
    <tableColumn id="14" xr3:uid="{E0A3E3B8-37AA-47E2-8F2A-E1030C8544D9}" name="1_1_Trading" dataDxfId="194">
      <calculatedColumnFormula>IF('Part 1_Supplier Info'!$C$12&lt;&gt;"", 'Part 1_Supplier Info'!$C$12, "")</calculatedColumnFormula>
    </tableColumn>
    <tableColumn id="16" xr3:uid="{94D73A00-4058-4A47-A261-9071F73D80FF}" name="1_1_Trading_Other" dataDxfId="193">
      <calculatedColumnFormula>IF('Part 1_Supplier Info'!$C$13&lt;&gt;"", 'Part 1_Supplier Info'!$C$13, "")</calculatedColumnFormula>
    </tableColumn>
    <tableColumn id="13" xr3:uid="{8CA8641C-EB77-4CD7-ACD3-066C0793C058}" name="1_1_Reg_Date" dataDxfId="192">
      <calculatedColumnFormula>IF('Part 1_Supplier Info'!$C$14&lt;&gt;"", 'Part 1_Supplier Info'!$C$14, "")</calculatedColumnFormula>
    </tableColumn>
    <tableColumn id="48" xr3:uid="{B842A465-41BB-40BE-9C93-74B132715406}" name="1_1_Reg_No" dataDxfId="191">
      <calculatedColumnFormula>IF('Part 1_Supplier Info'!$C$15&lt;&gt;"", 'Part 1_Supplier Info'!$C$15, "")</calculatedColumnFormula>
    </tableColumn>
    <tableColumn id="12" xr3:uid="{F5B5ADB8-3223-40C4-9A42-5729AD77FDC1}" name="1_1_Charity" dataDxfId="190">
      <calculatedColumnFormula>IF('Part 1_Supplier Info'!$C$16&lt;&gt;"", 'Part 1_Supplier Info'!$C$16, "")</calculatedColumnFormula>
    </tableColumn>
    <tableColumn id="11" xr3:uid="{6E56212E-0682-4722-9EEA-726EAFA1BC13}" name="1_1_DUNS" dataDxfId="189">
      <calculatedColumnFormula>IF('Part 1_Supplier Info'!$C$17&lt;&gt;"", 'Part 1_Supplier Info'!$C$17, "")</calculatedColumnFormula>
    </tableColumn>
    <tableColumn id="10" xr3:uid="{2FDD7A93-27C8-4D97-9191-D4E726C30320}" name="1_1_VAT" dataDxfId="188">
      <calculatedColumnFormula>IF('Part 1_Supplier Info'!$C$18&lt;&gt;"", 'Part 1_Supplier Info'!$C$18, "")</calculatedColumnFormula>
    </tableColumn>
    <tableColumn id="9" xr3:uid="{0642A3B3-3478-4898-80F5-107A4D94E212}" name="1_1_Registered" dataDxfId="187">
      <calculatedColumnFormula>IF('Part 1_Supplier Info'!$C$19&lt;&gt;"", 'Part 1_Supplier Info'!$C$19, "")</calculatedColumnFormula>
    </tableColumn>
    <tableColumn id="8" xr3:uid="{C271B9F8-118C-48C5-94BC-916E5162D10D}" name="1_1_Reg_Details" dataDxfId="186">
      <calculatedColumnFormula>IF('Part 1_Supplier Info'!$C$20&lt;&gt;"", 'Part 1_Supplier Info'!$C$20, "")</calculatedColumnFormula>
    </tableColumn>
    <tableColumn id="7" xr3:uid="{739939B6-41CB-4605-8822-859A3282B90F}" name="1_1_Accredited" dataDxfId="185">
      <calculatedColumnFormula>IF('Part 1_Supplier Info'!$C$21&lt;&gt;"", 'Part 1_Supplier Info'!$C$21, "")</calculatedColumnFormula>
    </tableColumn>
    <tableColumn id="6" xr3:uid="{46969D60-1F07-405F-9058-703BFEC6EA57}" name="1_1_Accred_Details" dataDxfId="184">
      <calculatedColumnFormula>IF('Part 1_Supplier Info'!$C$22&lt;&gt;"", 'Part 1_Supplier Info'!$C$22, "")</calculatedColumnFormula>
    </tableColumn>
    <tableColumn id="30" xr3:uid="{319B694C-0A1D-463B-A8A4-F3ADF0098C80}" name="1_1_Trading_Name" dataDxfId="183">
      <calculatedColumnFormula>IF('Part 1_Supplier Info'!$C$23&lt;&gt;"", 'Part 1_Supplier Info'!$C$23, "")</calculatedColumnFormula>
    </tableColumn>
    <tableColumn id="29" xr3:uid="{E16DE688-5038-4AEE-8D16-CB41BED9E7BC}" name="1_1_VCSE" dataDxfId="182">
      <calculatedColumnFormula>IF('Part 1_Supplier Info'!$C$25&lt;&gt;"", 'Part 1_Supplier Info'!$C$25, "")</calculatedColumnFormula>
    </tableColumn>
    <tableColumn id="28" xr3:uid="{BB45DB52-1C21-4EBE-9CA5-27C46DE469FA}" name="1_1_Sheltered" dataDxfId="181">
      <calculatedColumnFormula>IF('Part 1_Supplier Info'!$C$26&lt;&gt;"", 'Part 1_Supplier Info'!$C$26, "")</calculatedColumnFormula>
    </tableColumn>
    <tableColumn id="27" xr3:uid="{19FFC1CB-55A8-48FC-8326-8FD6369804A8}" name="1_1_PSM" dataDxfId="180">
      <calculatedColumnFormula>IF('Part 1_Supplier Info'!$C$27&lt;&gt;"", 'Part 1_Supplier Info'!$C$27, "")</calculatedColumnFormula>
    </tableColumn>
    <tableColumn id="26" xr3:uid="{58E50906-6BCC-46AB-8D4D-C9DB6542000C}" name="1_1_SME" dataDxfId="179">
      <calculatedColumnFormula>IF('Part 1_Supplier Info'!$C$28&lt;&gt;"", 'Part 1_Supplier Info'!$C$28, "")</calculatedColumnFormula>
    </tableColumn>
    <tableColumn id="25" xr3:uid="{A2E78EF8-1301-418E-B365-F152257C661D}" name="1_1_PSC_Name" dataDxfId="178">
      <calculatedColumnFormula>IF('Part 1_Supplier Info'!$C$30&lt;&gt;"", 'Part 1_Supplier Info'!$C$30, "")</calculatedColumnFormula>
    </tableColumn>
    <tableColumn id="24" xr3:uid="{C784AED8-8F92-4017-BDFB-B17955B810FF}" name="1_1_PSC_DoB" dataDxfId="177">
      <calculatedColumnFormula>IF('Part 1_Supplier Info'!$C$31&lt;&gt;"", 'Part 1_Supplier Info'!$C$31, "")</calculatedColumnFormula>
    </tableColumn>
    <tableColumn id="23" xr3:uid="{CC02464B-5CBD-474C-B10E-20F3DF826DFC}" name="1_1_PSC_Nationality" dataDxfId="176">
      <calculatedColumnFormula>IF('Part 1_Supplier Info'!$C$32&lt;&gt;"", 'Part 1_Supplier Info'!$C$32, "")</calculatedColumnFormula>
    </tableColumn>
    <tableColumn id="22" xr3:uid="{11097388-E898-4773-A3E4-01CA60E58ACC}" name="1_1_PSC_Lives" dataDxfId="175">
      <calculatedColumnFormula>IF('Part 1_Supplier Info'!$C$33&lt;&gt;"", 'Part 1_Supplier Info'!$C$33, "")</calculatedColumnFormula>
    </tableColumn>
    <tableColumn id="21" xr3:uid="{E6BFDD9A-38B9-45F1-9429-A3C283B612D1}" name="1_1_PSC_Address" dataDxfId="174">
      <calculatedColumnFormula>IF('Part 1_Supplier Info'!$C$34&lt;&gt;"", 'Part 1_Supplier Info'!$C$34, "")</calculatedColumnFormula>
    </tableColumn>
    <tableColumn id="20" xr3:uid="{0209D084-74A8-48D3-A5A2-75B6A58F9D9F}" name="1_1_PSC_Date" dataDxfId="173">
      <calculatedColumnFormula>IF('Part 1_Supplier Info'!$C$35&lt;&gt;"", 'Part 1_Supplier Info'!$C$35, "")</calculatedColumnFormula>
    </tableColumn>
    <tableColumn id="19" xr3:uid="{511B3252-2888-4282-8365-9016F92CF888}" name="1_1_PSC_Conditions" dataDxfId="172">
      <calculatedColumnFormula>IF('Part 1_Supplier Info'!$C$36&lt;&gt;"", 'Part 1_Supplier Info'!$C$36, "")</calculatedColumnFormula>
    </tableColumn>
    <tableColumn id="46" xr3:uid="{FB6265AE-8BCA-45A6-BE14-6C29133E7C20}" name="1_1_IPC_Name" dataDxfId="171">
      <calculatedColumnFormula>IF('Part 1_Supplier Info'!$C$38&lt;&gt;"", 'Part 1_Supplier Info'!$C$38, "")</calculatedColumnFormula>
    </tableColumn>
    <tableColumn id="45" xr3:uid="{286230B1-3C68-4BDC-AF4B-77482F7B9118}" name="1_1_IPC_Address" dataDxfId="170">
      <calculatedColumnFormula>IF('Part 1_Supplier Info'!$C$39&lt;&gt;"", 'Part 1_Supplier Info'!$C$39, "")</calculatedColumnFormula>
    </tableColumn>
    <tableColumn id="44" xr3:uid="{AFE51465-8841-4A40-A433-DBC8238FC405}" name="1_1_IPC_RegNo" dataDxfId="169">
      <calculatedColumnFormula>IF('Part 1_Supplier Info'!$C$40&lt;&gt;"", 'Part 1_Supplier Info'!$C$40, "")</calculatedColumnFormula>
    </tableColumn>
    <tableColumn id="43" xr3:uid="{212373EF-FB01-4A1E-AE57-6360206D0950}" name="1_1_IPC_DUNS" dataDxfId="168">
      <calculatedColumnFormula>IF('Part 1_Supplier Info'!$C$41&lt;&gt;"", 'Part 1_Supplier Info'!$C$41, "")</calculatedColumnFormula>
    </tableColumn>
    <tableColumn id="42" xr3:uid="{5FF1F1BB-1A65-41EA-ADFB-F7D833096751}" name="1_1_IPC_VAT" dataDxfId="167">
      <calculatedColumnFormula>IF('Part 1_Supplier Info'!$C$42&lt;&gt;"", 'Part 1_Supplier Info'!$C$42, "")</calculatedColumnFormula>
    </tableColumn>
    <tableColumn id="41" xr3:uid="{323AA0DD-B9A3-4BB6-823F-D1A928D20EF1}" name="1_1_UPC_Name" dataDxfId="166">
      <calculatedColumnFormula>IF('Part 1_Supplier Info'!$C$44&lt;&gt;"", 'Part 1_Supplier Info'!$C$44, "")</calculatedColumnFormula>
    </tableColumn>
    <tableColumn id="40" xr3:uid="{677E05B1-4F0C-45AA-AB78-DAEA04FC55D4}" name="1_1_UPC_Address" dataDxfId="165">
      <calculatedColumnFormula>IF('Part 1_Supplier Info'!$C$45&lt;&gt;"", 'Part 1_Supplier Info'!$C$45, "")</calculatedColumnFormula>
    </tableColumn>
    <tableColumn id="39" xr3:uid="{4D63F42F-60A7-423F-9846-08B0F1FF007D}" name="1_1_UPC_RegNo" dataDxfId="164">
      <calculatedColumnFormula>IF('Part 1_Supplier Info'!$C$46&lt;&gt;"", 'Part 1_Supplier Info'!$C$46, "")</calculatedColumnFormula>
    </tableColumn>
    <tableColumn id="38" xr3:uid="{498F8368-ADDE-4645-8832-7A008AB0CB4B}" name="1_1_UPC_DUNS" dataDxfId="163">
      <calculatedColumnFormula>IF('Part 1_Supplier Info'!$C$47&lt;&gt;"", 'Part 1_Supplier Info'!$C$47, "")</calculatedColumnFormula>
    </tableColumn>
    <tableColumn id="37" xr3:uid="{7A54112B-71B6-4571-B458-99CD6282BCF7}" name="1_1_UPC_VAT" dataDxfId="162">
      <calculatedColumnFormula>IF('Part 1_Supplier Info'!$C$48&lt;&gt;"", 'Part 1_Supplier Info'!$C$48, "")</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C19C89F-822C-4B37-9C36-1876E4E29C9A}" name="TBL_011_Response_SQ_1_2" displayName="TBL_011_Response_SQ_1_2" ref="A7:BC8" totalsRowShown="0" headerRowDxfId="161" dataDxfId="160">
  <autoFilter ref="A7:BC8" xr:uid="{00000000-0009-0000-0100-000008000000}"/>
  <tableColumns count="55">
    <tableColumn id="47" xr3:uid="{EAE70298-93D7-490E-929E-0E703FD3B892}" name="1_2_Complete?" dataDxfId="159"/>
    <tableColumn id="3" xr3:uid="{E093289F-F627-40BC-8D2D-4361D357B0A7}" name="1_2_Lead" dataDxfId="158">
      <calculatedColumnFormula>IF('Part 1_Bidding model'!$C$11&lt;&gt;"", 'Part 1_Bidding model'!$C$11, "")</calculatedColumnFormula>
    </tableColumn>
    <tableColumn id="15" xr3:uid="{74DB42B7-5F9F-4A4B-B9B6-F08A107DFB82}" name="1_2_Group_Name" dataDxfId="157">
      <calculatedColumnFormula>IF('Part 1_Bidding model'!$C$13&lt;&gt;"", 'Part 1_Bidding model'!$C$13, "")</calculatedColumnFormula>
    </tableColumn>
    <tableColumn id="14" xr3:uid="{D81B4040-9E35-420B-A6AF-7DEDD48EEAE4}" name="1_2_Group_Structure" dataDxfId="156">
      <calculatedColumnFormula>IF('Part 1_Bidding model'!$C$14&lt;&gt;"", 'Part 1_Bidding model'!$C$14, "")</calculatedColumnFormula>
    </tableColumn>
    <tableColumn id="16" xr3:uid="{BD765648-E859-4B04-B36D-A526AEF7AB3F}" name="1_2_Subs" dataDxfId="155">
      <calculatedColumnFormula>IF('Part 1_Bidding model'!$C$15&lt;&gt;"", 'Part 1_Bidding model'!$C$15, "")</calculatedColumnFormula>
    </tableColumn>
    <tableColumn id="13" xr3:uid="{666BDB83-9475-4E86-90B0-049AE8AED0BF}" name="1_2_Sub_Name_1" dataDxfId="154">
      <calculatedColumnFormula>IF('Part 1_Bidding model'!$C$17&lt;&gt;"", 'Part 1_Bidding model'!$C$17, "")</calculatedColumnFormula>
    </tableColumn>
    <tableColumn id="12" xr3:uid="{FC620F12-7928-4884-B8DF-2D3302F95A28}" name="1_2_Sub_Name_2" dataDxfId="153">
      <calculatedColumnFormula>IF('Part 1_Bidding model'!$D$17&lt;&gt;"", 'Part 1_Bidding model'!$D$17, "")</calculatedColumnFormula>
    </tableColumn>
    <tableColumn id="11" xr3:uid="{005A8E82-D618-4E03-BAB8-15F8988BE2EB}" name="1_2_Sub_Name_3" dataDxfId="152">
      <calculatedColumnFormula>IF('Part 1_Bidding model'!$E$17&lt;&gt;"", 'Part 1_Bidding model'!$E$17, "")</calculatedColumnFormula>
    </tableColumn>
    <tableColumn id="10" xr3:uid="{1CE148AB-F7BB-46B9-B2E3-E6951EEE4B93}" name="1_2_Sub_Name_4" dataDxfId="151">
      <calculatedColumnFormula>IF('Part 1_Bidding model'!$F$17&lt;&gt;"", 'Part 1_Bidding model'!$F$17, "")</calculatedColumnFormula>
    </tableColumn>
    <tableColumn id="9" xr3:uid="{19A00D71-4EEE-4144-9060-F9AF32B6BC87}" name="1_2_Sub_Name_5" dataDxfId="150">
      <calculatedColumnFormula>IF('Part 1_Bidding model'!$G$17&lt;&gt;"", 'Part 1_Bidding model'!$G$17, "")</calculatedColumnFormula>
    </tableColumn>
    <tableColumn id="8" xr3:uid="{A1518DC1-44C3-4E7C-AD4C-6CDA619CC40F}" name="1_2_Sub_Add_1" dataDxfId="149">
      <calculatedColumnFormula>IF('Part 1_Bidding model'!$C$18&lt;&gt;"", 'Part 1_Bidding model'!$C$18, "")</calculatedColumnFormula>
    </tableColumn>
    <tableColumn id="7" xr3:uid="{757BE807-E6BB-415C-BAA0-A5331F0D9A74}" name="1_2_Sub_Add_2" dataDxfId="148">
      <calculatedColumnFormula>IF('Part 1_Bidding model'!$D$18&lt;&gt;"", 'Part 1_Bidding model'!$D$18, "")</calculatedColumnFormula>
    </tableColumn>
    <tableColumn id="6" xr3:uid="{A93099B9-0066-47D5-B41C-71EDEDE9095A}" name="1_2_Sub_Add_3" dataDxfId="147">
      <calculatedColumnFormula>IF('Part 1_Bidding model'!$E$18&lt;&gt;"", 'Part 1_Bidding model'!$E$18, "")</calculatedColumnFormula>
    </tableColumn>
    <tableColumn id="30" xr3:uid="{2AEC06F5-60B8-43A7-AB3F-C3740D529E9F}" name="1_2_Sub_Add_4" dataDxfId="146">
      <calculatedColumnFormula>IF('Part 1_Bidding model'!$F$18&lt;&gt;"", 'Part 1_Bidding model'!$F$18, "")</calculatedColumnFormula>
    </tableColumn>
    <tableColumn id="29" xr3:uid="{8E804362-9285-4D7F-BFA4-97190196E2F8}" name="1_2_Sub_Add_5" dataDxfId="145">
      <calculatedColumnFormula>IF('Part 1_Bidding model'!$G$18&lt;&gt;"", 'Part 1_Bidding model'!$G$18, "")</calculatedColumnFormula>
    </tableColumn>
    <tableColumn id="28" xr3:uid="{675107B7-7865-451E-B33C-19813D6C959A}" name="1_2_Sub_Status_1" dataDxfId="144">
      <calculatedColumnFormula>IF('Part 1_Bidding model'!$C$19&lt;&gt;"", 'Part 1_Bidding model'!$C$19, "")</calculatedColumnFormula>
    </tableColumn>
    <tableColumn id="27" xr3:uid="{552C6D43-2278-40E2-AF37-F5832998A530}" name="1_2_Sub_Status_2" dataDxfId="143">
      <calculatedColumnFormula>IF('Part 1_Bidding model'!$D$19&lt;&gt;"", 'Part 1_Bidding model'!$D$19, "")</calculatedColumnFormula>
    </tableColumn>
    <tableColumn id="26" xr3:uid="{ADE0E34D-B82D-462E-B064-455FC37EFFDF}" name="1_2_Sub_Status_3" dataDxfId="142">
      <calculatedColumnFormula>IF('Part 1_Bidding model'!$E$19&lt;&gt;"", 'Part 1_Bidding model'!$E$19, "")</calculatedColumnFormula>
    </tableColumn>
    <tableColumn id="25" xr3:uid="{970C3CDB-2414-4ADE-8AA0-FBCDE168BF58}" name="1_2_Sub_Status_4" dataDxfId="141">
      <calculatedColumnFormula>IF('Part 1_Bidding model'!$F$19&lt;&gt;"", 'Part 1_Bidding model'!$F$19, "")</calculatedColumnFormula>
    </tableColumn>
    <tableColumn id="24" xr3:uid="{7F78177D-ED93-4351-A4DA-3A31C6C81975}" name="1_2_Sub_Status_5" dataDxfId="140">
      <calculatedColumnFormula>IF('Part 1_Bidding model'!$G$19&lt;&gt;"", 'Part 1_Bidding model'!$G$19, "")</calculatedColumnFormula>
    </tableColumn>
    <tableColumn id="23" xr3:uid="{52AFEBD8-7C94-4BA5-BFF2-986F48E9AA8C}" name="1_2_Sub_Reg_1" dataDxfId="139">
      <calculatedColumnFormula>IF('Part 1_Bidding model'!$C$20&lt;&gt;"", 'Part 1_Bidding model'!$C$20, "")</calculatedColumnFormula>
    </tableColumn>
    <tableColumn id="22" xr3:uid="{CDF2BD44-28AC-4E69-8377-5F4DFA8F8A66}" name="1_2_Sub_Reg_2" dataDxfId="138">
      <calculatedColumnFormula>IF('Part 1_Bidding model'!$D$20&lt;&gt;"", 'Part 1_Bidding model'!$D$20, "")</calculatedColumnFormula>
    </tableColumn>
    <tableColumn id="21" xr3:uid="{48E78ED6-1EEE-4984-8282-B6C3F4A43664}" name="1_2_Sub_Reg_3" dataDxfId="137">
      <calculatedColumnFormula>IF('Part 1_Bidding model'!$E$20&lt;&gt;"", 'Part 1_Bidding model'!$E$20, "")</calculatedColumnFormula>
    </tableColumn>
    <tableColumn id="20" xr3:uid="{6347B8EA-FB81-4A8B-8469-236E2CF2389F}" name="1_2_Sub_Reg_4" dataDxfId="136">
      <calculatedColumnFormula>IF('Part 1_Bidding model'!$F$20&lt;&gt;"", 'Part 1_Bidding model'!$F$20, "")</calculatedColumnFormula>
    </tableColumn>
    <tableColumn id="19" xr3:uid="{6E1CEAF9-B8FB-45F2-90A7-E9F0A1930434}" name="1_2_Sub_Reg_5" dataDxfId="135">
      <calculatedColumnFormula>IF('Part 1_Bidding model'!$G$20&lt;&gt;"", 'Part 1_Bidding model'!$G$20, "")</calculatedColumnFormula>
    </tableColumn>
    <tableColumn id="46" xr3:uid="{B4DA98B6-7691-4F29-BB34-268C42783FE0}" name="1_2_Sub_DUNS_1" dataDxfId="134">
      <calculatedColumnFormula>IF('Part 1_Bidding model'!$C$21&lt;&gt;"", 'Part 1_Bidding model'!$C$21, "")</calculatedColumnFormula>
    </tableColumn>
    <tableColumn id="45" xr3:uid="{C2D11E42-6291-4B9D-9CE6-12FEB1C10E7A}" name="1_2_Sub_DUNS_2" dataDxfId="133">
      <calculatedColumnFormula>IF('Part 1_Bidding model'!$D$21&lt;&gt;"", 'Part 1_Bidding model'!$D$21, "")</calculatedColumnFormula>
    </tableColumn>
    <tableColumn id="44" xr3:uid="{CBE0B22E-D7D1-4390-A784-6F82E92F8E66}" name="1_2_Sub_DUNS_3" dataDxfId="132">
      <calculatedColumnFormula>IF('Part 1_Bidding model'!$E$21&lt;&gt;"", 'Part 1_Bidding model'!$E$21, "")</calculatedColumnFormula>
    </tableColumn>
    <tableColumn id="43" xr3:uid="{2EBE462A-8367-49B5-90D6-74FC89518902}" name="1_2_Sub_DUNS_4" dataDxfId="131">
      <calculatedColumnFormula>IF('Part 1_Bidding model'!$F$21&lt;&gt;"", 'Part 1_Bidding model'!$F$21, "")</calculatedColumnFormula>
    </tableColumn>
    <tableColumn id="42" xr3:uid="{B6FE8067-EEB2-4BFE-AB41-1A9CFC70D6AE}" name="1_2_Sub_DUNS_5" dataDxfId="130">
      <calculatedColumnFormula>IF('Part 1_Bidding model'!$G$21&lt;&gt;"", 'Part 1_Bidding model'!$G$21, "")</calculatedColumnFormula>
    </tableColumn>
    <tableColumn id="41" xr3:uid="{02917FB8-EA25-4893-B335-BDFD65D3782C}" name="1_2_Sub_VAT_1" dataDxfId="129">
      <calculatedColumnFormula>IF('Part 1_Bidding model'!$C$22&lt;&gt;"", 'Part 1_Bidding model'!$C$22, "")</calculatedColumnFormula>
    </tableColumn>
    <tableColumn id="40" xr3:uid="{F216E73D-18AF-47CD-82B5-63103AF1C0B8}" name="1_2_Sub_VAT_2" dataDxfId="128">
      <calculatedColumnFormula>IF('Part 1_Bidding model'!$D$22&lt;&gt;"", 'Part 1_Bidding model'!$D$22, "")</calculatedColumnFormula>
    </tableColumn>
    <tableColumn id="39" xr3:uid="{C94EBC81-8F5E-47C4-ACD2-5EF313744C64}" name="1_2_Sub_VAT_3" dataDxfId="127">
      <calculatedColumnFormula>IF('Part 1_Bidding model'!$E$22&lt;&gt;"", 'Part 1_Bidding model'!$E$22, "")</calculatedColumnFormula>
    </tableColumn>
    <tableColumn id="38" xr3:uid="{EE833197-263C-469B-A346-6F19996A1386}" name="1_2_Sub_VAT_4" dataDxfId="126">
      <calculatedColumnFormula>IF('Part 1_Bidding model'!$F$22&lt;&gt;"", 'Part 1_Bidding model'!$F$22, "")</calculatedColumnFormula>
    </tableColumn>
    <tableColumn id="37" xr3:uid="{13987E77-DE07-4EC6-9C0B-D746FF6D5962}" name="1_2_Sub_VAT_5" dataDxfId="125">
      <calculatedColumnFormula>IF('Part 1_Bidding model'!$G$22&lt;&gt;"", 'Part 1_Bidding model'!$G$22, "")</calculatedColumnFormula>
    </tableColumn>
    <tableColumn id="48" xr3:uid="{DC0E6E10-9884-4326-809E-8D247EAC1972}" name="1_2_Sub_Type_1" dataDxfId="124">
      <calculatedColumnFormula>IF('Part 1_Bidding model'!$C$23&lt;&gt;"", 'Part 1_Bidding model'!$C$23, "")</calculatedColumnFormula>
    </tableColumn>
    <tableColumn id="49" xr3:uid="{87A8DB99-62A1-4C67-A040-25C9638A5340}" name="1_2_Sub_Type_2" dataDxfId="123">
      <calculatedColumnFormula>IF('Part 1_Bidding model'!$D$23&lt;&gt;"", 'Part 1_Bidding model'!$D$23, "")</calculatedColumnFormula>
    </tableColumn>
    <tableColumn id="50" xr3:uid="{8366B2B4-65A6-4565-97D2-55CC2FFA16CB}" name="1_2_Sub_Type_3" dataDxfId="122">
      <calculatedColumnFormula>IF('Part 1_Bidding model'!$E$23&lt;&gt;"", 'Part 1_Bidding model'!$E$23, "")</calculatedColumnFormula>
    </tableColumn>
    <tableColumn id="51" xr3:uid="{E7509B1F-BF48-4273-92BB-61559A3A9666}" name="1_2_Sub_Type_4" dataDxfId="121">
      <calculatedColumnFormula>IF('Part 1_Bidding model'!$F$23&lt;&gt;"", 'Part 1_Bidding model'!$F$23, "")</calculatedColumnFormula>
    </tableColumn>
    <tableColumn id="52" xr3:uid="{18410EB5-A7EF-463C-BB02-5766C1140487}" name="1_2_Sub_Type_5" dataDxfId="120">
      <calculatedColumnFormula>IF('Part 1_Bidding model'!$G$23&lt;&gt;"", 'Part 1_Bidding model'!$G$23, "")</calculatedColumnFormula>
    </tableColumn>
    <tableColumn id="53" xr3:uid="{0D793D81-4768-4808-8B42-ACDD746D7606}" name="1_2_Sub_SME_1" dataDxfId="119">
      <calculatedColumnFormula>IF('Part 1_Bidding model'!$C$24&lt;&gt;"", 'Part 1_Bidding model'!$C$24, "")</calculatedColumnFormula>
    </tableColumn>
    <tableColumn id="54" xr3:uid="{E2042466-FED4-4F1C-8B0C-C9BAA0BC0FB7}" name="1_2_Sub_SME_2" dataDxfId="118">
      <calculatedColumnFormula>IF('Part 1_Bidding model'!$D$24&lt;&gt;"", 'Part 1_Bidding model'!$D$24, "")</calculatedColumnFormula>
    </tableColumn>
    <tableColumn id="55" xr3:uid="{188BE024-ADC9-4257-AFEB-4DABED5DF30E}" name="1_2_Sub_SME_3" dataDxfId="117">
      <calculatedColumnFormula>IF('Part 1_Bidding model'!$E$24&lt;&gt;"", 'Part 1_Bidding model'!$E$24, "")</calculatedColumnFormula>
    </tableColumn>
    <tableColumn id="56" xr3:uid="{45CC8598-24A2-4FD1-9681-476E273EE36E}" name="1_2_Sub_SME_4" dataDxfId="116">
      <calculatedColumnFormula>IF('Part 1_Bidding model'!$F$24&lt;&gt;"", 'Part 1_Bidding model'!$F$24, "")</calculatedColumnFormula>
    </tableColumn>
    <tableColumn id="57" xr3:uid="{425787C5-38A3-47A0-BAA7-3B52CF765744}" name="1_2_Sub_SME_5" dataDxfId="115">
      <calculatedColumnFormula>IF('Part 1_Bidding model'!$G$24&lt;&gt;"", 'Part 1_Bidding model'!$G$24, "")</calculatedColumnFormula>
    </tableColumn>
    <tableColumn id="58" xr3:uid="{843C0F4C-059C-48FC-AC5F-9D4C53DAB88A}" name="1_2_Sub_Role_1" dataDxfId="114">
      <calculatedColumnFormula>IF('Part 1_Bidding model'!$C$25&lt;&gt;"", 'Part 1_Bidding model'!$C$25, "")</calculatedColumnFormula>
    </tableColumn>
    <tableColumn id="59" xr3:uid="{DAFA2238-F233-472F-8137-79B0B28C625D}" name="1_2_Sub_Role_2" dataDxfId="113">
      <calculatedColumnFormula>IF('Part 1_Bidding model'!$D$25&lt;&gt;"", 'Part 1_Bidding model'!$D$25, "")</calculatedColumnFormula>
    </tableColumn>
    <tableColumn id="60" xr3:uid="{C5DD6215-1860-43B8-B5D7-39BDFF479B05}" name="1_2_Sub_Role_3" dataDxfId="112">
      <calculatedColumnFormula>IF('Part 1_Bidding model'!$E$25&lt;&gt;"", 'Part 1_Bidding model'!$E$25, "")</calculatedColumnFormula>
    </tableColumn>
    <tableColumn id="61" xr3:uid="{308B0B84-8485-46C2-9376-8DDF79C0BBDB}" name="1_2_Sub_Role_4" dataDxfId="111">
      <calculatedColumnFormula>IF('Part 1_Bidding model'!$F$25&lt;&gt;"", 'Part 1_Bidding model'!$F$25, "")</calculatedColumnFormula>
    </tableColumn>
    <tableColumn id="62" xr3:uid="{03ADCF95-B1E9-4EB2-8C0A-D1850E38047E}" name="1_2_Sub_Role_5" dataDxfId="110">
      <calculatedColumnFormula>IF('Part 1_Bidding model'!$G$25&lt;&gt;"", 'Part 1_Bidding model'!$G$25, "")</calculatedColumnFormula>
    </tableColumn>
    <tableColumn id="63" xr3:uid="{68AAF112-5D5F-454F-925B-1FD83E50A528}" name="1_2_Sub_%_1" dataDxfId="109">
      <calculatedColumnFormula>IF('Part 1_Bidding model'!$C$26&lt;&gt;"", 'Part 1_Bidding model'!$C$26, "")</calculatedColumnFormula>
    </tableColumn>
    <tableColumn id="64" xr3:uid="{6FE7D32D-5E70-4529-8644-1DA3F2A3F7B0}" name="1_2_Sub_%_2" dataDxfId="108">
      <calculatedColumnFormula>IF('Part 1_Bidding model'!$D$26&lt;&gt;"", 'Part 1_Bidding model'!$D$26, "")</calculatedColumnFormula>
    </tableColumn>
    <tableColumn id="65" xr3:uid="{09F63E78-DC12-4BFF-A9C0-8BDF031B5C3E}" name="1_2_Sub_%_3" dataDxfId="107">
      <calculatedColumnFormula>IF('Part 1_Bidding model'!$E$26&lt;&gt;"", 'Part 1_Bidding model'!$E$26, "")</calculatedColumnFormula>
    </tableColumn>
    <tableColumn id="66" xr3:uid="{94D64D50-6F09-4B10-A7F2-148CEE9F14D8}" name="1_2_Sub_%_4" dataDxfId="106">
      <calculatedColumnFormula>IF('Part 1_Bidding model'!$F$26&lt;&gt;"", 'Part 1_Bidding model'!$F$26, "")</calculatedColumnFormula>
    </tableColumn>
    <tableColumn id="67" xr3:uid="{C24689D5-175A-4F3F-A9BE-90EE0DB16DF6}" name="1_2_Sub_%_5" dataDxfId="105">
      <calculatedColumnFormula>IF('Part 1_Bidding model'!$G$26&lt;&gt;"", 'Part 1_Bidding model'!$G$26, "")</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EDBE407E-4ED4-4912-A81F-713B058653F3}" name="TBL_011_Response_SQ_1_3" displayName="TBL_011_Response_SQ_1_3" ref="A10:K11" totalsRowShown="0" headerRowDxfId="104" dataDxfId="103">
  <autoFilter ref="A10:K11" xr:uid="{00000000-0009-0000-0100-000009000000}"/>
  <tableColumns count="11">
    <tableColumn id="47" xr3:uid="{1E7B0FDF-607C-4208-926B-1AC8242AFB93}" name="1_3_Complete?" dataDxfId="102"/>
    <tableColumn id="3" xr3:uid="{09E72001-9581-4652-A15D-215E506A2951}" name="1_3_Name" dataDxfId="101">
      <calculatedColumnFormula>IF('Part 1_Details &amp; Declaration'!$C$19&lt;&gt;"", 'Part 1_Details &amp; Declaration'!$C$19, "")</calculatedColumnFormula>
    </tableColumn>
    <tableColumn id="15" xr3:uid="{F8CE02D1-4DBB-4A71-95AB-3595652CE12C}" name="1_3_Organisation" dataDxfId="100">
      <calculatedColumnFormula>IF('Part 1_Details &amp; Declaration'!$C$20&lt;&gt;"", 'Part 1_Details &amp; Declaration'!$C$20, "")</calculatedColumnFormula>
    </tableColumn>
    <tableColumn id="14" xr3:uid="{D4213A39-0AA8-4685-BC7F-924AAF3B3CBE}" name="1_3_Role" dataDxfId="99">
      <calculatedColumnFormula>IF('Part 1_Details &amp; Declaration'!$C$21&lt;&gt;"", 'Part 1_Details &amp; Declaration'!$C$21, "")</calculatedColumnFormula>
    </tableColumn>
    <tableColumn id="16" xr3:uid="{0E5D7917-E9CF-4074-8C7A-AA104D3388DF}" name="1_3_Phone" dataDxfId="98">
      <calculatedColumnFormula>IF('Part 1_Details &amp; Declaration'!$C$22&lt;&gt;"", 'Part 1_Details &amp; Declaration'!$C$22, "")</calculatedColumnFormula>
    </tableColumn>
    <tableColumn id="13" xr3:uid="{C0716718-DAB4-4BE1-8198-5C323416D236}" name="1_3_E-mail" dataDxfId="97">
      <calculatedColumnFormula>IF('Part 1_Details &amp; Declaration'!$C$23&lt;&gt;"", 'Part 1_Details &amp; Declaration'!$C$23, "")</calculatedColumnFormula>
    </tableColumn>
    <tableColumn id="48" xr3:uid="{164924B3-A95E-4969-8211-38049D250B6F}" name="1_3_Address_1" dataDxfId="96">
      <calculatedColumnFormula>IF('Part 1_Details &amp; Declaration'!$C$24&lt;&gt;"", 'Part 1_Details &amp; Declaration'!$C$24, "")</calculatedColumnFormula>
    </tableColumn>
    <tableColumn id="4" xr3:uid="{7FEB2C34-B732-4B8D-98F0-5F75744AD656}" name="1_3_Address_2" dataDxfId="95">
      <calculatedColumnFormula>IF('Part 1_Details &amp; Declaration'!$C$25&lt;&gt;"", 'Part 1_Details &amp; Declaration'!$C$25, "")</calculatedColumnFormula>
    </tableColumn>
    <tableColumn id="5" xr3:uid="{B23AE548-3705-4532-AEDC-A58BB9FFEADB}" name="1_3_Address_3" dataDxfId="94">
      <calculatedColumnFormula>IF('Part 1_Details &amp; Declaration'!$C$26&lt;&gt;"", 'Part 1_Details &amp; Declaration'!$C$26, "")</calculatedColumnFormula>
    </tableColumn>
    <tableColumn id="6" xr3:uid="{403E9191-D21F-49E7-AB46-225FA0BDD11C}" name="1_3_Address_4" dataDxfId="93">
      <calculatedColumnFormula>IF('Part 1_Details &amp; Declaration'!$C$27&lt;&gt;"", 'Part 1_Details &amp; Declaration'!$C$27, "")</calculatedColumnFormula>
    </tableColumn>
    <tableColumn id="7" xr3:uid="{DAD52C30-D0D5-4CA5-912C-E564CD424E5F}" name="1_3_Address_5" dataDxfId="92">
      <calculatedColumnFormula>IF('Part 1_Details &amp; Declaration'!$C$28&lt;&gt;"", 'Part 1_Details &amp; Declaration'!$C$28, "")</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625C68FC-C99B-4BC6-9BB0-E4E24CB299BC}" name="TBL_011_Response_SQ_2_2" displayName="TBL_011_Response_SQ_2_2" ref="A13:K14" totalsRowShown="0" headerRowDxfId="91" dataDxfId="90">
  <autoFilter ref="A13:K14" xr:uid="{00000000-0009-0000-0100-00000A000000}"/>
  <tableColumns count="11">
    <tableColumn id="47" xr3:uid="{CA4B1EF4-180B-4DB4-8268-43D94D39BECF}" name="2_2_Complete?" dataDxfId="89"/>
    <tableColumn id="3" xr3:uid="{9912F89D-93BB-49CB-9B98-830C10F05FAC}" name="2_2_Criminal" dataDxfId="88">
      <calculatedColumnFormula>IF('Part 2_Section 2'!$C$12&lt;&gt;"", 'Part 2_Section 2'!$C$12, "")</calculatedColumnFormula>
    </tableColumn>
    <tableColumn id="15" xr3:uid="{45CA49C5-0C67-4743-9D16-65837F32DBE5}" name="2_2_Corruption" dataDxfId="87">
      <calculatedColumnFormula>IF('Part 2_Section 2'!$C$13&lt;&gt;"", 'Part 2_Section 2'!$C$13, "")</calculatedColumnFormula>
    </tableColumn>
    <tableColumn id="14" xr3:uid="{B59D4FCA-3497-4B3A-A5F6-C4E80826C86F}" name="2_2_Fraud" dataDxfId="86">
      <calculatedColumnFormula>IF('Part 2_Section 2'!$C$14&lt;&gt;"", 'Part 2_Section 2'!$C$14, "")</calculatedColumnFormula>
    </tableColumn>
    <tableColumn id="16" xr3:uid="{FBAA6E38-6523-4B10-BA7B-E9CE8942E336}" name="2_2_Terrorist" dataDxfId="85">
      <calculatedColumnFormula>IF('Part 2_Section 2'!$C$15&lt;&gt;"", 'Part 2_Section 2'!$C$15, "")</calculatedColumnFormula>
    </tableColumn>
    <tableColumn id="13" xr3:uid="{7B877B41-63BF-492A-809C-978B2AB613E3}" name="2_2_Financing" dataDxfId="84">
      <calculatedColumnFormula>IF('Part 2_Section 2'!$C$16&lt;&gt;"", 'Part 2_Section 2'!$C$16, "")</calculatedColumnFormula>
    </tableColumn>
    <tableColumn id="48" xr3:uid="{C254502E-4773-478E-8EDC-E28656C75A1B}" name="2_2_Trafficking" dataDxfId="83">
      <calculatedColumnFormula>IF('Part 2_Section 2'!$C$17&lt;&gt;"", 'Part 2_Section 2'!$C$17, "")</calculatedColumnFormula>
    </tableColumn>
    <tableColumn id="12" xr3:uid="{4A9B416E-19D8-491A-8524-4A90A9FAD9F1}" name="2_2_Details" dataDxfId="82">
      <calculatedColumnFormula>IF('Part 2_Section 2'!$C$18&lt;&gt;"", 'Part 2_Section 2'!$C$18, "")</calculatedColumnFormula>
    </tableColumn>
    <tableColumn id="11" xr3:uid="{72FB6502-3E51-4DFF-A79C-357A4C18AB5B}" name="2_2_Measures" dataDxfId="81">
      <calculatedColumnFormula>IF('Part 2_Section 2'!$C$19&lt;&gt;"", 'Part 2_Section 2'!$C$19, "")</calculatedColumnFormula>
    </tableColumn>
    <tableColumn id="10" xr3:uid="{7851DB1A-5FB4-4738-A1BA-982BA93D200B}" name="2_2_Reg57" dataDxfId="80">
      <calculatedColumnFormula>IF('Part 2_Section 2'!$C$20&lt;&gt;"", 'Part 2_Section 2'!$C$20, "")</calculatedColumnFormula>
    </tableColumn>
    <tableColumn id="9" xr3:uid="{F7F90B92-8C57-421C-97ED-00A79DF66753}" name="2_2_Reg57_Details" dataDxfId="79">
      <calculatedColumnFormula>IF('Part 2_Section 2'!$C$21&lt;&gt;"", 'Part 2_Section 2'!$C$21, "")</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F6DE38FC-99DF-42EC-A8CE-33E16FC82B4C}" name="TBL_011_Response_SQ_2_3" displayName="TBL_011_Response_SQ_2_3" ref="A16:O17" totalsRowShown="0" headerRowDxfId="78" dataDxfId="77">
  <autoFilter ref="A16:O17" xr:uid="{00000000-0009-0000-0100-00000B000000}"/>
  <tableColumns count="15">
    <tableColumn id="47" xr3:uid="{5709DF44-E81A-4032-98B4-CDCF1E6FF9D2}" name="2_3_Complete?" dataDxfId="76"/>
    <tableColumn id="3" xr3:uid="{B0257334-9965-4E95-89EB-792909C32211}" name="2_3_Enviro" dataDxfId="75">
      <calculatedColumnFormula>IF('Part 2_Section 3'!$C$10&lt;&gt;"", 'Part 2_Section 3'!$C$10, "")</calculatedColumnFormula>
    </tableColumn>
    <tableColumn id="15" xr3:uid="{EF290179-5819-49E9-97BA-4E2D9C5CD28D}" name="2_3_Social" dataDxfId="74">
      <calculatedColumnFormula>IF('Part 2_Section 3'!$C$11&lt;&gt;"", 'Part 2_Section 3'!$C$11, "")</calculatedColumnFormula>
    </tableColumn>
    <tableColumn id="14" xr3:uid="{6E29A5B5-F432-476E-BDCF-F886F226A067}" name="2_3_Labour" dataDxfId="73">
      <calculatedColumnFormula>IF('Part 2_Section 3'!$C$12&lt;&gt;"", 'Part 2_Section 3'!$C$12, "")</calculatedColumnFormula>
    </tableColumn>
    <tableColumn id="16" xr3:uid="{7ADB8DB8-079F-42EE-BF38-86DC05761064}" name="2_3_Bankrupt" dataDxfId="72">
      <calculatedColumnFormula>IF('Part 2_Section 3'!$C$13&lt;&gt;"", 'Part 2_Section 3'!$C$13, "")</calculatedColumnFormula>
    </tableColumn>
    <tableColumn id="13" xr3:uid="{8AAB7D2D-3ADD-4E7F-9FF5-8763406C1BA6}" name="2_3_Misconduct" dataDxfId="71">
      <calculatedColumnFormula>IF('Part 2_Section 3'!$C$14&lt;&gt;"", 'Part 2_Section 3'!$C$14, "")</calculatedColumnFormula>
    </tableColumn>
    <tableColumn id="48" xr3:uid="{E0512147-5CF0-4A5D-A24B-F56DB374547F}" name="2_3_Distorting" dataDxfId="70">
      <calculatedColumnFormula>IF('Part 2_Section 3'!$C$15&lt;&gt;"", 'Part 2_Section 3'!$C$15, "")</calculatedColumnFormula>
    </tableColumn>
    <tableColumn id="12" xr3:uid="{21D47AE2-32BA-4ABC-96FA-AF50F70897B1}" name="2_3_Conflict" dataDxfId="69">
      <calculatedColumnFormula>IF('Part 2_Section 3'!$C$16&lt;&gt;"", 'Part 2_Section 3'!$C$16, "")</calculatedColumnFormula>
    </tableColumn>
    <tableColumn id="11" xr3:uid="{17E782A6-5C5B-4BF7-90FB-FACC142A5B79}" name="2_3_Involved" dataDxfId="68">
      <calculatedColumnFormula>IF('Part 2_Section 3'!$C$17&lt;&gt;"", 'Part 2_Section 3'!$C$17, "")</calculatedColumnFormula>
    </tableColumn>
    <tableColumn id="10" xr3:uid="{E061DCBA-CBF3-4F7E-AB11-573484096C88}" name="2_3_Performance" dataDxfId="67">
      <calculatedColumnFormula>IF('Part 2_Section 3'!$C$18&lt;&gt;"", 'Part 2_Section 3'!$C$18, "")</calculatedColumnFormula>
    </tableColumn>
    <tableColumn id="9" xr3:uid="{FB6CF7ED-E853-4B58-AA61-74A37125707C}" name="2_3_Misrepresentation" dataDxfId="66">
      <calculatedColumnFormula>IF('Part 2_Section 3'!$C$20&lt;&gt;"", 'Part 2_Section 3'!$C$20, "")</calculatedColumnFormula>
    </tableColumn>
    <tableColumn id="49" xr3:uid="{6102C7FE-6F0D-4895-946D-EE4D52F42306}" name="2_3_Withheld" dataDxfId="65">
      <calculatedColumnFormula>IF('Part 2_Section 3'!$C$21&lt;&gt;"", 'Part 2_Section 3'!$C$21, "")</calculatedColumnFormula>
    </tableColumn>
    <tableColumn id="50" xr3:uid="{C24464CF-64B2-4963-9EF7-08E1499DDE93}" name="2_3_Supporting" dataDxfId="64">
      <calculatedColumnFormula>IF('Part 2_Section 3'!$C$22&lt;&gt;"", 'Part 2_Section 3'!$C$22, "")</calculatedColumnFormula>
    </tableColumn>
    <tableColumn id="51" xr3:uid="{6B91F82A-6CF2-4DEC-809C-63071607A216}" name="2_3_Influenced" dataDxfId="63">
      <calculatedColumnFormula>IF('Part 2_Section 3'!$C$23&lt;&gt;"", 'Part 2_Section 3'!$C$23, "")</calculatedColumnFormula>
    </tableColumn>
    <tableColumn id="52" xr3:uid="{CDC0BE08-565A-453B-B958-5BB7047C1154}" name="2_3_Measures" dataDxfId="62">
      <calculatedColumnFormula>IF('Part 2_Section 3'!$C$24&lt;&gt;"", 'Part 2_Section 3'!$C$24, "")</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CDD8846-AFF4-497E-AC3C-66B0A50C94A2}" name="TBL_011_Response_SQ_3" displayName="TBL_011_Response_SQ_3" ref="A19:K20" totalsRowShown="0" headerRowDxfId="61" dataDxfId="60">
  <autoFilter ref="A19:K20" xr:uid="{00000000-0009-0000-0100-00000D000000}"/>
  <tableColumns count="11">
    <tableColumn id="47" xr3:uid="{2038C44F-44D9-46CA-8E2B-5D47C9509867}" name="3_4&amp;5_Complete?" dataDxfId="59"/>
    <tableColumn id="3" xr3:uid="{8A2222C4-2DD2-430D-B4F8-6CF52E449DD3}" name="3_4_Accounts" dataDxfId="58">
      <calculatedColumnFormula>IF('Part 3_Section 4 &amp; 5'!$C$10&lt;&gt;"", 'Part 3_Section 4 &amp; 5'!$C$10, "")</calculatedColumnFormula>
    </tableColumn>
    <tableColumn id="15" xr3:uid="{0B2545C0-5B9C-446B-A0DF-0634A08B8194}" name="3_4_Prof&amp;loss" dataDxfId="57">
      <calculatedColumnFormula>IF('Part 3_Section 4 &amp; 5'!$C$11&lt;&gt;"", 'Part 3_Section 4 &amp; 5'!$C$11, "")</calculatedColumnFormula>
    </tableColumn>
    <tableColumn id="14" xr3:uid="{97B0CE07-383B-42A4-84D0-8D3996A127EE}" name="3_4_Cashflow" dataDxfId="56">
      <calculatedColumnFormula>IF('Part 3_Section 4 &amp; 5'!$C$12&lt;&gt;"", 'Part 3_Section 4 &amp; 5'!$C$12, "")</calculatedColumnFormula>
    </tableColumn>
    <tableColumn id="16" xr3:uid="{670B0255-7526-46F1-B6B5-B4BE5B2F2301}" name="3_4_Alternative" dataDxfId="55">
      <calculatedColumnFormula>IF('Part 3_Section 4 &amp; 5'!$C$13&lt;&gt;"", 'Part 3_Section 4 &amp; 5'!$C$13, "")</calculatedColumnFormula>
    </tableColumn>
    <tableColumn id="13" xr3:uid="{4727D5C7-3A32-4BEE-9F61-784410A7E322}" name="3_4_Turnover" dataDxfId="54">
      <calculatedColumnFormula>IF('Part 3_Section 4 &amp; 5'!$C$14&lt;&gt;"", 'Part 3_Section 4 &amp; 5'!$C$14, "")</calculatedColumnFormula>
    </tableColumn>
    <tableColumn id="48" xr3:uid="{622617BB-E310-4550-BC9B-6B469BF462A8}" name="3_5_PC_Name" dataDxfId="53">
      <calculatedColumnFormula>IF('Part 3_Section 4 &amp; 5'!$C$19&lt;&gt;"", 'Part 3_Section 4 &amp; 5'!$C$19, "")</calculatedColumnFormula>
    </tableColumn>
    <tableColumn id="12" xr3:uid="{55EF89A0-C47B-42C0-A79E-45E8A8D0295D}" name="3_5_Relationship" dataDxfId="52">
      <calculatedColumnFormula>IF('Part 3_Section 4 &amp; 5'!$C$20&lt;&gt;"", 'Part 3_Section 4 &amp; 5'!$C$20, "")</calculatedColumnFormula>
    </tableColumn>
    <tableColumn id="11" xr3:uid="{42F3557F-5259-4FDC-8260-207B907664B7}" name="3_5_PC_Accounts" dataDxfId="51">
      <calculatedColumnFormula>IF('Part 3_Section 4 &amp; 5'!$C$21&lt;&gt;"", 'Part 3_Section 4 &amp; 5'!$C$21, "")</calculatedColumnFormula>
    </tableColumn>
    <tableColumn id="10" xr3:uid="{1678E18B-B319-4FCA-9E20-969BB56704B6}" name="3_5_PCG" dataDxfId="50">
      <calculatedColumnFormula>IF('Part 3_Section 4 &amp; 5'!$C$22&lt;&gt;"", 'Part 3_Section 4 &amp; 5'!$C$22, "")</calculatedColumnFormula>
    </tableColumn>
    <tableColumn id="9" xr3:uid="{C9AF0117-76B7-474C-A41A-0B062A15F8AF}" name="3_5_Guarantee" dataDxfId="49">
      <calculatedColumnFormula>IF('Part 3_Section 4 &amp; 5'!$C$23&lt;&gt;"", 'Part 3_Section 4 &amp; 5'!$C$23, "")</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BA77955-8634-4BF6-88C3-61102E42B828}" name="TBL_011_Response_SQ_3_7" displayName="TBL_011_Response_SQ_3_7" ref="A25:D26" totalsRowShown="0" headerRowDxfId="48" dataDxfId="47">
  <autoFilter ref="A25:D26" xr:uid="{00000000-0009-0000-0100-00000F000000}"/>
  <tableColumns count="4">
    <tableColumn id="47" xr3:uid="{F4461EC1-7B93-49A4-AFB7-4797E593EFB6}" name="3_7_Complete?" dataDxfId="46"/>
    <tableColumn id="3" xr3:uid="{241681B4-1B82-4062-A0C5-4A27E2511E99}" name="3_7_Relevant" dataDxfId="45">
      <calculatedColumnFormula>IF('Part 3_Section 7'!$C$9&lt;&gt;"", 'Part 3_Section 7'!$C$9, "")</calculatedColumnFormula>
    </tableColumn>
    <tableColumn id="53" xr3:uid="{53BC4A16-78B4-4E14-856D-2C000FEEB634}" name="3_7_Reporting" dataDxfId="44">
      <calculatedColumnFormula>IF('Part 3_Section 7'!$C$10&lt;&gt;"", 'Part 3_Section 7'!$C$10, "")</calculatedColumnFormula>
    </tableColumn>
    <tableColumn id="54" xr3:uid="{13E32A1C-B5FA-4B84-B0B2-2EBD219178BB}" name="3_7_Extra" dataDxfId="43">
      <calculatedColumnFormula>IF('Part 3_Section 7'!$C$11&lt;&gt;"", 'Part 3_Section 7'!$C$11, "")</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A8F1637C-6E70-4E95-BB80-CD66642885B2}" name="TBL_011_Response_SQ_3_8" displayName="TBL_011_Response_SQ_3_8" ref="A28:J29" totalsRowShown="0" headerRowDxfId="42" dataDxfId="41">
  <autoFilter ref="A28:J29" xr:uid="{00000000-0009-0000-0100-000010000000}"/>
  <tableColumns count="10">
    <tableColumn id="47" xr3:uid="{38623E28-CD84-469E-9E8E-7F6D4BE48864}" name="3_8_Complete?" dataDxfId="40"/>
    <tableColumn id="3" xr3:uid="{DC2B5BF0-9876-41C4-A622-F286F93BAAB9}" name="3_8_Insurances" dataDxfId="39">
      <calculatedColumnFormula>IF('Part 3_Section 8'!$C$9&lt;&gt;"", 'Part 3_Section 8'!$C$9, "")</calculatedColumnFormula>
    </tableColumn>
    <tableColumn id="53" xr3:uid="{39BE7707-425D-453B-859E-2FE3542C5460}" name="3_8_Supporting" dataDxfId="38">
      <calculatedColumnFormula>IF('Part 3_Section 8'!$C$21&lt;&gt;"", 'Part 3_Section 8'!$C$21, "")</calculatedColumnFormula>
    </tableColumn>
    <tableColumn id="54" xr3:uid="{9170292C-8983-47AC-941A-FA9D9F4668AD}" name="3_8_Evidence" dataDxfId="37">
      <calculatedColumnFormula>IF('Part 3_Section 8'!$C$22&lt;&gt;"", 'Part 3_Section 8'!$C$22, "")</calculatedColumnFormula>
    </tableColumn>
    <tableColumn id="78" xr3:uid="{CDC3B668-52CC-4C31-A5A9-652AD87528FF}" name="3_8_SupplyChain" dataDxfId="36">
      <calculatedColumnFormula>IF('Part 3_Section 8'!$C$23&lt;&gt;"", 'Part 3_Section 8'!$C$23, "")</calculatedColumnFormula>
    </tableColumn>
    <tableColumn id="79" xr3:uid="{7CB7116D-8F29-4E77-9C83-D0EA2777EEA9}" name="3_8_List" dataDxfId="35">
      <calculatedColumnFormula>IF('Part 3_Section 8'!$C$26&lt;&gt;"", 'Part 3_Section 8'!$C$26, "")</calculatedColumnFormula>
    </tableColumn>
    <tableColumn id="80" xr3:uid="{BE1E9E4E-5072-4169-84FD-E5C9BFCF68ED}" name="3_8_Certificate" dataDxfId="34">
      <calculatedColumnFormula>IF('Part 3_Section 8'!$C$27&lt;&gt;"", 'Part 3_Section 8'!$C$27, "")</calculatedColumnFormula>
    </tableColumn>
    <tableColumn id="81" xr3:uid="{A6965E3B-1304-43EF-8A1B-F6596B5583B5}" name="3_8_Explain" dataDxfId="33">
      <calculatedColumnFormula>IF('Part 3_Section 8'!$C$28&lt;&gt;"", 'Part 3_Section 8'!$C$28, "")</calculatedColumnFormula>
    </tableColumn>
    <tableColumn id="82" xr3:uid="{7A713207-CD78-4C83-8D38-E605A55EC8B9}" name="3_8_Not_recur" dataDxfId="32">
      <calculatedColumnFormula>IF('Part 3_Section 8'!$C$29&lt;&gt;"", 'Part 3_Section 8'!$C$29, "")</calculatedColumnFormula>
    </tableColumn>
    <tableColumn id="83" xr3:uid="{A9B9585A-ADB2-4122-8D0B-CE7D50ED5E7F}" name="3_8_Subs" dataDxfId="31">
      <calculatedColumnFormula>IF('Part 3_Section 8'!$C$30&lt;&gt;"", 'Part 3_Section 8'!$C$30, "")</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6183BCD-42EF-4FE3-9F8F-1A22C546EBD4}" name="TBL_011_Response_SQ_3_6" displayName="TBL_011_Response_SQ_3_6" ref="A22:T23" totalsRowShown="0" headerRowDxfId="30" dataDxfId="29">
  <autoFilter ref="A22:T23" xr:uid="{00000000-0009-0000-0100-00000E000000}"/>
  <tableColumns count="20">
    <tableColumn id="47" xr3:uid="{556B04AB-1178-4921-A5C2-243BE2AD201B}" name="3_6_Lot_1_Complete?" dataDxfId="28"/>
    <tableColumn id="3" xr3:uid="{0C969161-8133-4F0F-BE37-1A83612AF0EC}" name="3_6_Lot_1_Q6.1" dataDxfId="27">
      <calculatedColumnFormula>IF('Part 3_Section 6'!$C$21&lt;&gt;"", 'Part 3_Section 6'!$C$21, "")</calculatedColumnFormula>
    </tableColumn>
    <tableColumn id="76" xr3:uid="{C460A0C4-795E-4F68-8C14-F2FE1B0FF88D}" name="3_6_Lot_1_Q6.3" dataDxfId="26">
      <calculatedColumnFormula>IF('Part 3_Section 6'!$C$49&lt;&gt;"", 'Part 3_Section 6'!$C$49, "")</calculatedColumnFormula>
    </tableColumn>
    <tableColumn id="77" xr3:uid="{4386EDB3-6337-4822-A020-5BB924287FD7}" name="Lot_1_Q1or3" dataDxfId="25"/>
    <tableColumn id="4" xr3:uid="{04D4C3C1-E951-49E0-9A33-CBBFF17CAF00}" name="3_6_Lot_2_Complete?" dataDxfId="24"/>
    <tableColumn id="5" xr3:uid="{9376CEBD-963C-4BCD-8EC1-454A546E047E}" name="3_6_Lot_2_Q6.1" dataDxfId="23">
      <calculatedColumnFormula>IF(AND(Lotted?="Yes", No_Lots?&gt;=2), IF(#REF!&lt;&gt;"",#REF!, ""), "N/A")</calculatedColumnFormula>
    </tableColumn>
    <tableColumn id="8" xr3:uid="{4167BBAE-91A7-4C92-9696-8CD8E3A8C86E}" name="3_6_Lot_2_Q6.3" dataDxfId="22">
      <calculatedColumnFormula>IF(AND(Lotted?="Yes", No_Lots?&gt;=2), IF(#REF!&lt;&gt;"",#REF!, ""), "N/A")</calculatedColumnFormula>
    </tableColumn>
    <tableColumn id="9" xr3:uid="{DBBB2EBF-73E4-42FE-B5D6-3592EA9ACF58}" name="Lot_2_Q1or3" dataDxfId="21">
      <calculatedColumnFormula>IF(AND(Lotted?="Yes", No_Lots?&gt;=2), IF(SQ_Same_Qs?="Yes", TBL_011_Response_SQ_3_6[Lot_1_Q1or3], IF(TBL_011_Response_SQ_3_6[3_6_Lot_2_Q6.1]="Enclosed", "Q6.1", "Q6.3")), "N/A")</calculatedColumnFormula>
    </tableColumn>
    <tableColumn id="10" xr3:uid="{F1C3A27F-BF9D-4EEF-90D6-0628FE010E1F}" name="3_6_Lot_3_Complete?" dataDxfId="20"/>
    <tableColumn id="11" xr3:uid="{446F9332-718B-4660-B99B-91FB97FF76FE}" name="3_6_Lot_3_Q6.1" dataDxfId="19">
      <calculatedColumnFormula>IF(AND(Lotted?="Yes", No_Lots?&gt;=3), IF(#REF!&lt;&gt;"",#REF!, ""), "N/A")</calculatedColumnFormula>
    </tableColumn>
    <tableColumn id="14" xr3:uid="{FE6AAF5A-D1FA-4EF0-B419-89D2DD8E0017}" name="3_6_Lot_3_Q6.3" dataDxfId="18">
      <calculatedColumnFormula>IF(AND(Lotted?="Yes", No_Lots?&gt;=3), IF(#REF!&lt;&gt;"",#REF!, ""), "N/A")</calculatedColumnFormula>
    </tableColumn>
    <tableColumn id="15" xr3:uid="{A0795515-17C1-4EDE-8DB4-A581BA0EDB2A}" name="Lot_3_Q1or3" dataDxfId="17">
      <calculatedColumnFormula>IF(AND(Lotted?="Yes", No_Lots?&gt;=3), IF(SQ_Same_Qs?="Yes", TBL_011_Response_SQ_3_6[Lot_1_Q1or3], IF(TBL_011_Response_SQ_3_6[3_6_Lot_3_Q6.1]="Enclosed", "Q6.1", "Q6.3")), "N/A")</calculatedColumnFormula>
    </tableColumn>
    <tableColumn id="16" xr3:uid="{723B7DF0-8699-47AE-8044-899CDEED72F5}" name="3_6_Lot_4_Complete?" dataDxfId="16"/>
    <tableColumn id="17" xr3:uid="{36D24608-3442-44E7-AB0C-6F56190FEEC9}" name="3_6_Lot_4_Q6.1" dataDxfId="15">
      <calculatedColumnFormula>IF(AND(Lotted?="Yes", No_Lots?&gt;=4), IF(#REF!&lt;&gt;"",#REF!, ""), "N/A")</calculatedColumnFormula>
    </tableColumn>
    <tableColumn id="20" xr3:uid="{590F1250-77D1-40E1-9731-7C2128078FDE}" name="3_6_Lot_4_Q6.3" dataDxfId="14">
      <calculatedColumnFormula>IF(AND(Lotted?="Yes", No_Lots?&gt;=4), IF(#REF!&lt;&gt;"",#REF!, ""), "N/A")</calculatedColumnFormula>
    </tableColumn>
    <tableColumn id="21" xr3:uid="{35F3BA12-3553-47B3-AFCE-15A4D3AC88BD}" name="Lot_4_Q1or3" dataDxfId="13">
      <calculatedColumnFormula>IF(AND(Lotted?="Yes", No_Lots?&gt;=4), IF(SQ_Same_Qs?="Yes", TBL_011_Response_SQ_3_6[Lot_1_Q1or3], IF(TBL_011_Response_SQ_3_6[3_6_Lot_4_Q6.1]="Enclosed", "Q6.1", "Q6.3")), "N/A")</calculatedColumnFormula>
    </tableColumn>
    <tableColumn id="22" xr3:uid="{08043353-F5CC-43B5-94DD-920E5C460EB1}" name="3_6_Lot_5_Complete?" dataDxfId="12"/>
    <tableColumn id="23" xr3:uid="{58D8346F-492A-496C-BC17-1EFFDAB4CA50}" name="3_6_Lot_5_Q6.1" dataDxfId="11">
      <calculatedColumnFormula>IF(AND(Lotted?="Yes", No_Lots?&gt;=5), IF(#REF!&lt;&gt;"",#REF!, ""), "N/A")</calculatedColumnFormula>
    </tableColumn>
    <tableColumn id="26" xr3:uid="{7D95984A-AB42-4F7F-8F13-051BA49CAED1}" name="3_6_Lot_5_Q6.3" dataDxfId="10">
      <calculatedColumnFormula>IF(AND(Lotted?="Yes", No_Lots?&gt;=5), IF(#REF!&lt;&gt;"",#REF!, ""), "N/A")</calculatedColumnFormula>
    </tableColumn>
    <tableColumn id="27" xr3:uid="{CF1F5B6A-D32E-41D9-8A2B-E602F332D1BA}" name="Lot_5_Q1or3" dataDxfId="9">
      <calculatedColumnFormula>IF(AND(Lotted?="Yes", No_Lots?&gt;=5), IF(SQ_Same_Qs?="Yes", TBL_011_Response_SQ_3_6[Lot_1_Q1or3], IF(TBL_011_Response_SQ_3_6[3_6_Lot_5_Q6.1]="Enclosed", "Q6.1", "Q6.3")), "N/A")</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520247A-4D1E-42D5-8B65-DA6A7A1DF451}" name="TBL_011_Response_SQ_Lots" displayName="TBL_011_Response_SQ_Lots" ref="A1:G2" totalsRowShown="0" headerRowDxfId="8" dataDxfId="7">
  <autoFilter ref="A1:G2" xr:uid="{AE04CE6B-BD65-4E0F-AED2-718CC860E239}"/>
  <tableColumns count="7">
    <tableColumn id="3" xr3:uid="{0666971B-552B-49E0-B927-C996F9ADD342}" name="Lots_Complete?" dataDxfId="6">
      <calculatedColumnFormula>Contents!$C$7</calculatedColumnFormula>
    </tableColumn>
    <tableColumn id="4" xr3:uid="{E0C401D6-E41A-4FEF-8295-4C0F8FEAE253}" name="Lot_1" dataDxfId="5"/>
    <tableColumn id="5" xr3:uid="{51A68886-F4BA-4D91-A82D-39D39A563838}" name="Lot_2" dataDxfId="4">
      <calculatedColumnFormula>IF(AND(Lotted?="Yes", No_Lots?&gt;=2), Lot_2, "N/A")</calculatedColumnFormula>
    </tableColumn>
    <tableColumn id="6" xr3:uid="{2E024466-5986-4475-9B26-F23A3E35C867}" name="Lot_3" dataDxfId="3">
      <calculatedColumnFormula>IF(AND(Lotted?="Yes", No_Lots?&gt;=3), Lot_3, "N/A")</calculatedColumnFormula>
    </tableColumn>
    <tableColumn id="7" xr3:uid="{EFFB1503-24DA-44AD-B3E3-59826F819D9D}" name="Lot_4" dataDxfId="2">
      <calculatedColumnFormula>IF(AND(Lotted?="Yes", No_Lots?&gt;=4), Lot_4, "N/A")</calculatedColumnFormula>
    </tableColumn>
    <tableColumn id="8" xr3:uid="{2AF204E1-2205-4AE4-A5CF-D250B5CF5734}" name="Lot_5" dataDxfId="1">
      <calculatedColumnFormula>IF(AND(Lotted?="Yes", No_Lots?&gt;=5), Lot_5, "N/A")</calculatedColumnFormula>
    </tableColumn>
    <tableColumn id="1" xr3:uid="{2F670B19-F33E-4B40-9BC5-855E31880939}" name="Lot_6" dataDxfId="0">
      <calculatedColumnFormula>IF(AND(Lotted?="Yes", No_Lots?&gt;=6), Lot_6, "N/A")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ps@effefftee.co.uk"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5.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uploads/system/uploads/attachment_data/file/551130/List_of_Mandatory_and_Discretionary_Exclusion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c.europa.eu/enterprise/policies/sme/facts-figuresanalysis/sme-definitio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F43B-BAC5-47AF-9E7E-2EF0B81565DC}">
  <sheetPr codeName="Sheet1"/>
  <dimension ref="A1:C25"/>
  <sheetViews>
    <sheetView showGridLines="0" tabSelected="1" view="pageLayout" zoomScaleNormal="100" workbookViewId="0">
      <selection sqref="A1:B1"/>
    </sheetView>
  </sheetViews>
  <sheetFormatPr baseColWidth="10" defaultColWidth="8.6640625" defaultRowHeight="13"/>
  <cols>
    <col min="1" max="1" width="25.6640625" style="215" customWidth="1"/>
    <col min="2" max="2" width="25.83203125" style="215" customWidth="1"/>
    <col min="3" max="3" width="9.6640625" style="215" customWidth="1"/>
    <col min="4" max="4" width="25.6640625" style="215" customWidth="1"/>
    <col min="5" max="16384" width="8.6640625" style="215"/>
  </cols>
  <sheetData>
    <row r="1" spans="1:2" ht="311.75" customHeight="1">
      <c r="A1" s="533" t="str">
        <f t="array" ref="A1">CONCATENATE(INDEX(TBL_003_DocMerge[Stage], MATCH(1, (Doc_Lot=TBL_003_DocMerge[Lot])*(Job_No=TBL_003_DocMerge[Job_No]),0)), " Response Document for ", INDEX(TBL_003_DocMerge[Project_Title], MATCH(1, (Doc_Lot=TBL_003_DocMerge[Lot])*(Job_No=TBL_003_DocMerge[Job_No]),0)))</f>
        <v>Request to Participate Response Document for Dynamic Purchasing System - Responsive Repairs and Voids</v>
      </c>
      <c r="B1" s="533"/>
    </row>
    <row r="2" spans="1:2" ht="28">
      <c r="A2" s="216" t="s">
        <v>920</v>
      </c>
    </row>
    <row r="3" spans="1:2" ht="50" customHeight="1">
      <c r="A3" s="533" t="str">
        <f t="array" ref="A3">INDEX(TBL_003_DocMerge[Client_Name], MATCH(1, (Doc_Lot=TBL_003_DocMerge[Lot])*(Job_No=TBL_003_DocMerge[Job_No]),0))</f>
        <v>Islington and Shoreditch Housing Association</v>
      </c>
      <c r="B3" s="534"/>
    </row>
    <row r="4" spans="1:2" ht="28">
      <c r="A4" s="216" t="s">
        <v>921</v>
      </c>
    </row>
    <row r="5" spans="1:2">
      <c r="A5" s="217" t="str">
        <f t="array" ref="A5">INDEX(TBL_003_DocMerge[Author], MATCH(1, (Doc_Lot=TBL_003_DocMerge[Lot])*(Job_No=TBL_003_DocMerge[Job_No]),0))</f>
        <v>Jennifer Hopkins</v>
      </c>
    </row>
    <row r="6" spans="1:2">
      <c r="A6" s="215" t="s">
        <v>922</v>
      </c>
    </row>
    <row r="8" spans="1:2">
      <c r="A8" s="217" t="str">
        <f t="array" ref="A8">CONCATENATE("Tel: ", INDEX(TBL_003_DocMerge[Office_Number], MATCH(1, (Doc_Lot=TBL_003_DocMerge[Lot])*(Job_No=TBL_003_DocMerge[Job_No]),0)))</f>
        <v>Tel: 01689 885 080</v>
      </c>
    </row>
    <row r="9" spans="1:2">
      <c r="A9" s="257" t="s">
        <v>1275</v>
      </c>
    </row>
    <row r="10" spans="1:2">
      <c r="A10" s="217" t="str">
        <f t="array" ref="A10">CONCATENATE("Date: ", DAY(INDEX(TBL_003_DocMerge[Doc_Date], MATCH(1, (Doc_Lot=TBL_003_DocMerge[Lot])*(Job_No=TBL_003_DocMerge[Job_No]),0))), " ", VLOOKUP(MONTH(INDEX(TBL_003_DocMerge[Doc_Date], MATCH(1, (Doc_Lot=TBL_003_DocMerge[Lot])*(Job_No=TBL_003_DocMerge[Job_No]),0))), TBL_005_Month[], 2, FALSE), " ", YEAR(INDEX(TBL_003_DocMerge[Doc_Date], MATCH(1, (Doc_Lot=TBL_003_DocMerge[Lot])*(Job_No=TBL_003_DocMerge[Job_No]),0))))</f>
        <v>Date: 25 March 2021</v>
      </c>
    </row>
    <row r="17" spans="1:3">
      <c r="A17" s="217" t="str">
        <f t="array" ref="A17">CONCATENATE("© Faithorn Farrell Timms LLP published ",YEAR(INDEX(TBL_003_DocMerge[Doc_Date], MATCH(1, (Doc_Lot=TBL_003_DocMerge[Lot])*(Job_No=TBL_003_DocMerge[Job_No]),0))))</f>
        <v>© Faithorn Farrell Timms LLP published 2021</v>
      </c>
    </row>
    <row r="25" spans="1:3" ht="23.5" customHeight="1">
      <c r="A25" s="258" t="str">
        <f>Job_No</f>
        <v>T1-5622</v>
      </c>
      <c r="B25" s="535" t="str">
        <f t="array" ref="B25">CONCATENATE(INDEX(TBL_003_DocMerge[Office_Address], MATCH(1, (Doc_Lot=TBL_003_DocMerge[Lot])*(Job_No=TBL_003_DocMerge[Job_No]),0)), "
Registered # OC300053 # Regulated by RICS")</f>
        <v>Central Court, Knoll Rise, Orpington, BR6 0JA
Registered # OC300053 # Regulated by RICS</v>
      </c>
      <c r="C25" s="535"/>
    </row>
  </sheetData>
  <sheetProtection algorithmName="SHA-512" hashValue="B7DzpUks8Jf2Q4OdKDPQJ1j1WnabDxK4a6cFkzaDlJWfahS4Ay1hXqrmc2NlSHZ3F4YuhqE4ISbNdbEMCRb/gg==" saltValue="Zs8dMByv+yUCcQFfea5GHg==" spinCount="100000" sheet="1" objects="1" scenarios="1"/>
  <mergeCells count="3">
    <mergeCell ref="A1:B1"/>
    <mergeCell ref="A3:B3"/>
    <mergeCell ref="B25:C25"/>
  </mergeCells>
  <hyperlinks>
    <hyperlink ref="A9" r:id="rId1" xr:uid="{B4C6595E-3CE7-4896-8814-3814D455E30A}"/>
  </hyperlinks>
  <pageMargins left="0.78740157480314965" right="0.78740157480314965" top="1.7716535433070868" bottom="0.39370078740157483" header="0.39370078740157483" footer="0"/>
  <pageSetup paperSize="9" orientation="portrait" r:id="rId2"/>
  <headerFooter>
    <oddHeader>&amp;L
&amp;G&amp;R&amp;"Arial,Regular"&amp;16
&amp;K0074C5document 3</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3D9D-1005-4206-808C-BB63486EA8D0}">
  <dimension ref="A1:D43"/>
  <sheetViews>
    <sheetView showGridLines="0" view="pageLayout" zoomScaleNormal="100" workbookViewId="0"/>
  </sheetViews>
  <sheetFormatPr baseColWidth="10" defaultColWidth="9" defaultRowHeight="13"/>
  <cols>
    <col min="1" max="1" width="7.1640625" style="29" customWidth="1"/>
    <col min="2" max="2" width="62" style="30" customWidth="1"/>
    <col min="3" max="3" width="10.83203125" style="34" customWidth="1"/>
    <col min="4" max="4" width="14.33203125" style="30" customWidth="1"/>
    <col min="5" max="5" width="9.1640625" style="30" customWidth="1"/>
    <col min="6" max="6" width="9.83203125" style="30" customWidth="1"/>
    <col min="7" max="16384" width="9" style="30"/>
  </cols>
  <sheetData>
    <row r="1" spans="1:4" s="1" customFormat="1" ht="14">
      <c r="A1" s="19"/>
      <c r="C1" s="31"/>
    </row>
    <row r="2" spans="1:4" s="1" customFormat="1" ht="18">
      <c r="A2" s="259" t="str">
        <f>IF('Project Info'!$B$18="Open Procedure", "Delete this tab", IF('Project Info'!$B$17="SQ", "Contents", "Delete this tab"))</f>
        <v>Contents</v>
      </c>
      <c r="C2" s="31"/>
    </row>
    <row r="3" spans="1:4" s="21" customFormat="1">
      <c r="A3" s="20"/>
      <c r="C3" s="32"/>
    </row>
    <row r="4" spans="1:4" s="21" customFormat="1">
      <c r="A4" s="22" t="s">
        <v>102</v>
      </c>
      <c r="B4" s="22" t="s">
        <v>20</v>
      </c>
      <c r="C4" s="33" t="s">
        <v>370</v>
      </c>
      <c r="D4" s="23"/>
    </row>
    <row r="5" spans="1:4" s="25" customFormat="1" ht="21" customHeight="1">
      <c r="A5" s="24"/>
      <c r="B5" s="35" t="s">
        <v>187</v>
      </c>
      <c r="C5" s="38" t="s">
        <v>24</v>
      </c>
    </row>
    <row r="6" spans="1:4" s="26" customFormat="1" ht="21" customHeight="1">
      <c r="A6" s="24"/>
      <c r="B6" s="35" t="s">
        <v>120</v>
      </c>
      <c r="C6" s="38" t="s">
        <v>24</v>
      </c>
      <c r="D6" s="25"/>
    </row>
    <row r="7" spans="1:4" s="26" customFormat="1" ht="21" customHeight="1">
      <c r="A7" s="24"/>
      <c r="B7" s="35" t="str">
        <f>IF(Lotted?="Yes", "Lots", "[Delete this row]")</f>
        <v>Lots</v>
      </c>
      <c r="C7" s="38" t="str">
        <f>Lots!$G$1</f>
        <v>Incomplete</v>
      </c>
      <c r="D7" s="25"/>
    </row>
    <row r="8" spans="1:4" s="26" customFormat="1" ht="21" customHeight="1">
      <c r="A8" s="27" t="s">
        <v>206</v>
      </c>
      <c r="B8" s="36" t="s">
        <v>371</v>
      </c>
      <c r="C8" s="38" t="str">
        <f>'Part 1_Supplier Info'!$G$1</f>
        <v>Incomplete</v>
      </c>
      <c r="D8" s="25"/>
    </row>
    <row r="9" spans="1:4" s="26" customFormat="1" ht="21" customHeight="1">
      <c r="A9" s="27" t="s">
        <v>206</v>
      </c>
      <c r="B9" s="36" t="s">
        <v>372</v>
      </c>
      <c r="C9" s="38" t="str">
        <f>'Part 1_Bidding model'!$K$1</f>
        <v>Incomplete</v>
      </c>
      <c r="D9" s="25"/>
    </row>
    <row r="10" spans="1:4" s="26" customFormat="1" ht="21" customHeight="1">
      <c r="A10" s="27" t="s">
        <v>206</v>
      </c>
      <c r="B10" s="36" t="s">
        <v>373</v>
      </c>
      <c r="C10" s="38" t="str">
        <f>'Part 1_Details &amp; Declaration'!$G$1</f>
        <v>Incomplete</v>
      </c>
      <c r="D10" s="25"/>
    </row>
    <row r="11" spans="1:4" s="26" customFormat="1" ht="21" customHeight="1">
      <c r="A11" s="27" t="s">
        <v>207</v>
      </c>
      <c r="B11" s="36" t="s">
        <v>374</v>
      </c>
      <c r="C11" s="38" t="str">
        <f>'Part 2_Section 2'!$G$1</f>
        <v>Incomplete</v>
      </c>
      <c r="D11" s="25"/>
    </row>
    <row r="12" spans="1:4" s="26" customFormat="1" ht="21" customHeight="1">
      <c r="A12" s="27" t="s">
        <v>207</v>
      </c>
      <c r="B12" s="36" t="s">
        <v>375</v>
      </c>
      <c r="C12" s="38" t="str">
        <f>'Part 2_Section 3'!$G$1</f>
        <v>Incomplete</v>
      </c>
      <c r="D12" s="25"/>
    </row>
    <row r="13" spans="1:4" s="26" customFormat="1" ht="35.25" customHeight="1">
      <c r="A13" s="27" t="s">
        <v>208</v>
      </c>
      <c r="B13" s="36" t="s">
        <v>376</v>
      </c>
      <c r="C13" s="38" t="str">
        <f>'Part 3_Section 4 &amp; 5'!$G$1</f>
        <v>Incomplete</v>
      </c>
      <c r="D13" s="25"/>
    </row>
    <row r="14" spans="1:4" s="26" customFormat="1" ht="34.75" customHeight="1">
      <c r="A14" s="28" t="s">
        <v>208</v>
      </c>
      <c r="B14" s="35" t="str">
        <f>CONCATENATE('Part 3_Section 6'!$A$6, " - ", IF('Project Info'!$B$17="PAS", 'Part 3_Section 6'!$B$4,  'Part 3_Section 6'!$B$6))</f>
        <v>Section 6 - Technical and Profession Ability - Project Specific Questions for all Lots</v>
      </c>
      <c r="C14" s="38" t="str">
        <f>'Part 3_Section 6'!$G$1</f>
        <v>Incomplete</v>
      </c>
      <c r="D14" s="25"/>
    </row>
    <row r="15" spans="1:4" s="26" customFormat="1" ht="21" customHeight="1">
      <c r="A15" s="28" t="s">
        <v>208</v>
      </c>
      <c r="B15" s="35" t="s">
        <v>456</v>
      </c>
      <c r="C15" s="38" t="str">
        <f>'Part 3_Section 7'!$G$1</f>
        <v>Incomplete</v>
      </c>
      <c r="D15" s="25"/>
    </row>
    <row r="16" spans="1:4" s="26" customFormat="1" ht="21" customHeight="1">
      <c r="A16" s="28" t="s">
        <v>208</v>
      </c>
      <c r="B16" s="35" t="s">
        <v>484</v>
      </c>
      <c r="C16" s="38" t="str">
        <f>'Part 3_Section 8'!$G$1</f>
        <v>Incomplete</v>
      </c>
      <c r="D16" s="25"/>
    </row>
    <row r="17" spans="1:4" s="26" customFormat="1" ht="21" customHeight="1">
      <c r="A17" s="302"/>
      <c r="B17" s="37" t="s">
        <v>101</v>
      </c>
      <c r="C17" s="38" t="str">
        <f>'Check List'!$G$1</f>
        <v>Incomplete</v>
      </c>
      <c r="D17" s="25"/>
    </row>
    <row r="43" spans="1:3" ht="24">
      <c r="A43" s="258" t="str">
        <f>Job_No</f>
        <v>T1-5622</v>
      </c>
      <c r="B43" s="309" t="str">
        <f t="array" ref="B43">CONCATENATE(INDEX(TBL_003_DocMerge[Office_Address], MATCH(1, (Doc_Lot=TBL_003_DocMerge[Lot])*(Job_No=TBL_003_DocMerge[Job_No]),0)), "
Registered # OC300053 # Regulated by RICS")</f>
        <v>Central Court, Knoll Rise, Orpington, BR6 0JA
Registered # OC300053 # Regulated by RICS</v>
      </c>
      <c r="C43" s="260"/>
    </row>
  </sheetData>
  <sheetProtection algorithmName="SHA-512" hashValue="MrwrLS0X+ya31xQ5eXyz8NNt8iPBQwEQ8snpqUUCN1g/WpPqM/sDqkziW8+anNW/v7LCjnOeFLeLN6ETS19XJQ==" saltValue="aozQPbpq+dDl4ojtkiMRjg==" spinCount="100000" sheet="1" objects="1" scenarios="1"/>
  <conditionalFormatting sqref="C7:C13 C15:C16">
    <cfRule type="beginsWith" dxfId="567" priority="77" operator="beginsWith" text="Complete">
      <formula>LEFT(C7,LEN("Complete"))="Complete"</formula>
    </cfRule>
    <cfRule type="beginsWith" dxfId="566" priority="78" operator="beginsWith" text="Incomplete">
      <formula>LEFT(C7,LEN("Incomplete"))="Incomplete"</formula>
    </cfRule>
  </conditionalFormatting>
  <conditionalFormatting sqref="C17">
    <cfRule type="beginsWith" dxfId="565" priority="75" operator="beginsWith" text="Complete">
      <formula>LEFT(C17,LEN("Complete"))="Complete"</formula>
    </cfRule>
    <cfRule type="beginsWith" dxfId="564" priority="76" operator="beginsWith" text="Incomplete">
      <formula>LEFT(C17,LEN("Incomplete"))="Incomplete"</formula>
    </cfRule>
  </conditionalFormatting>
  <conditionalFormatting sqref="C5:C13 C15:C17">
    <cfRule type="beginsWith" dxfId="563" priority="51" operator="beginsWith" text="Complete">
      <formula>LEFT(C5,LEN("Complete"))="Complete"</formula>
    </cfRule>
    <cfRule type="beginsWith" dxfId="562" priority="52" operator="beginsWith" text="Incomplete">
      <formula>LEFT(C5,LEN("Incomplete"))="Incomplete"</formula>
    </cfRule>
  </conditionalFormatting>
  <conditionalFormatting sqref="C14">
    <cfRule type="beginsWith" dxfId="561" priority="11" operator="beginsWith" text="Complete">
      <formula>LEFT(C14,LEN("Complete"))="Complete"</formula>
    </cfRule>
    <cfRule type="beginsWith" dxfId="560" priority="12" operator="beginsWith" text="Incomplete">
      <formula>LEFT(C14,LEN("Incomplete"))="Incomplete"</formula>
    </cfRule>
  </conditionalFormatting>
  <conditionalFormatting sqref="C14">
    <cfRule type="beginsWith" dxfId="559" priority="3" operator="beginsWith" text="Complete">
      <formula>LEFT(C14,LEN("Complete"))="Complete"</formula>
    </cfRule>
    <cfRule type="beginsWith" dxfId="558" priority="4" operator="beginsWith" text="Incomplete">
      <formula>LEFT(C14,LEN("Incomplete"))="Incomplete"</formula>
    </cfRule>
  </conditionalFormatting>
  <conditionalFormatting sqref="B14">
    <cfRule type="beginsWith" dxfId="557" priority="1" operator="beginsWith" text="Section not">
      <formula>LEFT(B14,LEN("Section not"))="Section not"</formula>
    </cfRule>
    <cfRule type="beginsWith" dxfId="556" priority="2" operator="beginsWith" text="Part not">
      <formula>LEFT(B14,LEN("Part not"))="Part not"</formula>
    </cfRule>
  </conditionalFormatting>
  <conditionalFormatting sqref="B1:B1048576">
    <cfRule type="containsText" dxfId="555" priority="49" operator="containsText" text="Section not applicable">
      <formula>NOT(ISERROR(SEARCH("Section not applicable",B1)))</formula>
    </cfRule>
    <cfRule type="beginsWith" dxfId="554" priority="50" operator="beginsWith" text="Part not">
      <formula>LEFT(B1,LEN("Part not"))="Part not"</formula>
    </cfRule>
  </conditionalFormatting>
  <hyperlinks>
    <hyperlink ref="B17" location="'Check List'!A1" display="Check List" xr:uid="{17B44028-0BEF-4B30-810A-8F9ECEEC8167}"/>
    <hyperlink ref="B6" location="'Notes for completion'!A1" display="Notes for completion" xr:uid="{A4F1A09F-AC0F-4BA7-B6FF-6C48E9ACC3AF}"/>
    <hyperlink ref="B5" location="Introduction!A1" display="Introduction" xr:uid="{EF9A30E5-63EC-4019-978C-F660AB3A264E}"/>
    <hyperlink ref="B10" location="'Part 1_Details &amp; Declaration'!A1" display="Potential Supplier Information: Section 1 - Contact details and declaration" xr:uid="{5A26ED73-A8CE-432F-A671-EDFDFF2DEC40}"/>
    <hyperlink ref="B9" location="'Part 1_Bidding model'!A1" display="Potential Supplier Information: Section 1 - Bidding model" xr:uid="{D98C7A50-F232-406A-B388-A9545B0E53C7}"/>
    <hyperlink ref="B11" location="'Part 2_Section 2'!A1" display="Exclusion Grounds: Section 2 - Grounds for mandatory exclusion" xr:uid="{B7DBB66D-2926-47C0-8CCC-7D34CEDE6AFE}"/>
    <hyperlink ref="B12" location="'Part 2_Section 3'!A1" display="Exclusion Grounds: Section 3 - Grounds for discretionary exclusion" xr:uid="{CBD08C99-8427-4208-8D4A-F9F9CBFB3CA8}"/>
    <hyperlink ref="B13" location="'Part 3_Section 4 &amp; 5'!A1" display="Selection Questions: Section 4 - Economic and Financial Standing and Section 5: Part of a Group" xr:uid="{CF6456E0-39AB-4A76-A459-802D367F07BA}"/>
    <hyperlink ref="B15" location="'Part 3_Section 7'!A1" display="Sections 7:  Modern Slavery Act 2015" xr:uid="{7ACA6B6A-66B2-4E1B-837E-74D93413F0DF}"/>
    <hyperlink ref="B16" location="'Part 3_Section 8'!A1" display="Sections 8:  Additional Questions" xr:uid="{4776BEA3-C85E-4118-A10E-6CDFEE8BBD78}"/>
    <hyperlink ref="B8" location="'Part 1_Supplier Info'!A1" display="Potential Supplier Information: Section 1" xr:uid="{F6208822-D85E-4B67-9F04-2B758364BAC0}"/>
    <hyperlink ref="B7" location="Lots!A1" display="Lots!A1" xr:uid="{CE286978-C499-4007-9F40-C70C47ACFC1B}"/>
    <hyperlink ref="B14" location="'Part 3_Section 6'!A1" display="'Part 3_Section 6'!A1" xr:uid="{8D9DD903-DA43-4183-82C5-7BDDF7AFB0FE}"/>
  </hyperlinks>
  <pageMargins left="0.78740157480314965" right="0.78740157480314965" top="1.7716535433070868" bottom="0.39370078740157483" header="0.39370078740157483" footer="0"/>
  <pageSetup paperSize="9" orientation="portrait" horizontalDpi="4294967293" verticalDpi="4294967293" r:id="rId1"/>
  <headerFooter>
    <oddHeader>&amp;L
&amp;G&amp;R&amp;"Arial,Regular"&amp;16&amp;K0074C5
document 3</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5D2E-C2DB-4731-BF4D-6CD9D03AE2D7}">
  <sheetPr codeName="Sheet11"/>
  <dimension ref="A1:F15"/>
  <sheetViews>
    <sheetView topLeftCell="G1" workbookViewId="0">
      <selection activeCell="V22" sqref="V22"/>
    </sheetView>
  </sheetViews>
  <sheetFormatPr baseColWidth="10" defaultColWidth="8.83203125" defaultRowHeight="13"/>
  <cols>
    <col min="1" max="1" width="33.33203125" hidden="1" customWidth="1"/>
    <col min="2" max="2" width="25.33203125" hidden="1" customWidth="1"/>
    <col min="3" max="3" width="15.5" hidden="1" customWidth="1"/>
    <col min="4" max="4" width="25.1640625" hidden="1" customWidth="1"/>
    <col min="5" max="5" width="13.1640625" hidden="1" customWidth="1"/>
    <col min="6" max="6" width="12.33203125" hidden="1" customWidth="1"/>
  </cols>
  <sheetData>
    <row r="1" spans="1:6">
      <c r="A1" s="246" t="s">
        <v>892</v>
      </c>
      <c r="B1" s="242" t="s">
        <v>292</v>
      </c>
      <c r="C1" s="242" t="s">
        <v>893</v>
      </c>
      <c r="D1" s="242" t="s">
        <v>894</v>
      </c>
      <c r="E1" s="247" t="s">
        <v>895</v>
      </c>
      <c r="F1" s="242" t="s">
        <v>896</v>
      </c>
    </row>
    <row r="2" spans="1:6">
      <c r="A2" s="248" t="s">
        <v>897</v>
      </c>
      <c r="B2" s="530" t="s">
        <v>1239</v>
      </c>
      <c r="C2" s="250">
        <v>44255</v>
      </c>
      <c r="D2" s="243"/>
      <c r="E2" s="251" t="str">
        <f>IF(TBL_030_QA_SQ[[#This Row],[Name]]&lt;&gt;"", IF(AND(B3&lt;&gt;"", B3= TBL_030_QA_SQ[[#This Row],[Name]]),"Error!", ""), "Add")</f>
        <v/>
      </c>
      <c r="F2" s="249" t="str">
        <f>IF(TBL_030_QA_SQ[[#This Row],[Date Completed]]&lt;&gt;"", "", "Add")</f>
        <v/>
      </c>
    </row>
    <row r="3" spans="1:6">
      <c r="A3" s="248" t="s">
        <v>898</v>
      </c>
      <c r="B3" s="249"/>
      <c r="C3" s="250"/>
      <c r="D3" s="243"/>
      <c r="E3" s="251" t="str">
        <f>IF(TBL_030_QA_SQ[[#This Row],[Name]]&lt;&gt;"", IF(AND(B2&lt;&gt;"", B2= TBL_030_QA_SQ[[#This Row],[Name]]),"Error!", ""), "Add")</f>
        <v>Add</v>
      </c>
      <c r="F3" s="249" t="str">
        <f>IF(TBL_030_QA_SQ[[#This Row],[Date Completed]]&lt;&gt;"", "", "Add")</f>
        <v>Add</v>
      </c>
    </row>
    <row r="4" spans="1:6">
      <c r="A4" s="252" t="s">
        <v>899</v>
      </c>
      <c r="B4" s="253"/>
      <c r="C4" s="254"/>
      <c r="D4" s="255"/>
      <c r="E4" s="256" t="str">
        <f>IF(TBL_030_QA_SQ[[#This Row],[Name]]&lt;&gt;"", IF(AND(B5&lt;&gt;"", B5= TBL_030_QA_SQ[[#This Row],[Name]]), "Error!", ""), "")</f>
        <v/>
      </c>
      <c r="F4" s="253" t="str">
        <f>IF(TBL_030_QA_SQ[[#This Row],[Name]]&lt;&gt;"", IF(TBL_030_QA_SQ[[#This Row],[Date Completed]]&lt;&gt;"", "", "Add"), "")</f>
        <v/>
      </c>
    </row>
    <row r="5" spans="1:6">
      <c r="A5" s="248" t="s">
        <v>900</v>
      </c>
      <c r="B5" s="249"/>
      <c r="C5" s="250"/>
      <c r="D5" s="243"/>
      <c r="E5" s="251" t="str">
        <f>IF(B4&lt;&gt;"", IF(AND(TBL_030_QA_SQ[[#This Row],[Name]]&lt;&gt;"", B4= TBL_030_QA_SQ[[#This Row],[Name]]), "Error!", IF(TBL_030_QA_SQ[[#This Row],[Name]]&lt;&gt;"", "", "Add")), "")</f>
        <v/>
      </c>
      <c r="F5" s="253" t="str">
        <f>IF(B4&lt;&gt;"", IF(TBL_030_QA_SQ[[#This Row],[Date Completed]]&lt;&gt;"", "", "Add"), "")</f>
        <v/>
      </c>
    </row>
    <row r="6" spans="1:6">
      <c r="A6" s="252" t="s">
        <v>901</v>
      </c>
      <c r="B6" s="249"/>
      <c r="C6" s="250"/>
      <c r="D6" s="243"/>
      <c r="E6" s="256" t="str">
        <f>IF(TBL_030_QA_SQ[[#This Row],[Name]]&lt;&gt;"", IF(AND(B7&lt;&gt;"", B7= TBL_030_QA_SQ[[#This Row],[Name]]), "Error!", ""), "")</f>
        <v/>
      </c>
      <c r="F6" s="253" t="str">
        <f>IF(TBL_030_QA_SQ[[#This Row],[Name]]&lt;&gt;"", IF(TBL_030_QA_SQ[[#This Row],[Date Completed]]&lt;&gt;"", "", "Add"), "")</f>
        <v/>
      </c>
    </row>
    <row r="7" spans="1:6">
      <c r="A7" s="248" t="s">
        <v>902</v>
      </c>
      <c r="B7" s="253"/>
      <c r="C7" s="254"/>
      <c r="D7" s="255"/>
      <c r="E7" s="251" t="str">
        <f>IF(B6&lt;&gt;"", IF(AND(TBL_030_QA_SQ[[#This Row],[Name]]&lt;&gt;"", B6= TBL_030_QA_SQ[[#This Row],[Name]]), "Error!", IF(TBL_030_QA_SQ[[#This Row],[Name]]&lt;&gt;"", "", "Add")), "")</f>
        <v/>
      </c>
      <c r="F7" s="253" t="str">
        <f>IF(B6&lt;&gt;"", IF(TBL_030_QA_SQ[[#This Row],[Date Completed]]&lt;&gt;"", "", "Add"), "")</f>
        <v/>
      </c>
    </row>
    <row r="8" spans="1:6">
      <c r="A8" s="252" t="s">
        <v>903</v>
      </c>
      <c r="B8" s="253"/>
      <c r="C8" s="254"/>
      <c r="D8" s="255"/>
      <c r="E8" s="256" t="str">
        <f>IF(TBL_030_QA_SQ[[#This Row],[Name]]&lt;&gt;"", IF(AND(B9&lt;&gt;"", B9= TBL_030_QA_SQ[[#This Row],[Name]]), "Error!", ""), "")</f>
        <v/>
      </c>
      <c r="F8" s="253" t="str">
        <f>IF(TBL_030_QA_SQ[[#This Row],[Name]]&lt;&gt;"", IF(TBL_030_QA_SQ[[#This Row],[Date Completed]]&lt;&gt;"", "", "Add"), "")</f>
        <v/>
      </c>
    </row>
    <row r="9" spans="1:6">
      <c r="A9" s="248" t="s">
        <v>904</v>
      </c>
      <c r="B9" s="253"/>
      <c r="C9" s="254"/>
      <c r="D9" s="255"/>
      <c r="E9" s="251" t="str">
        <f>IF(B8&lt;&gt;"", IF(AND(TBL_030_QA_SQ[[#This Row],[Name]]&lt;&gt;"", B8= TBL_030_QA_SQ[[#This Row],[Name]]), "Error!", IF(TBL_030_QA_SQ[[#This Row],[Name]]&lt;&gt;"", "", "Add")), "")</f>
        <v/>
      </c>
      <c r="F9" s="253" t="str">
        <f>IF(B8&lt;&gt;"", IF(TBL_030_QA_SQ[[#This Row],[Date Completed]]&lt;&gt;"", "", "Add"), "")</f>
        <v/>
      </c>
    </row>
    <row r="10" spans="1:6">
      <c r="A10" s="252" t="s">
        <v>905</v>
      </c>
      <c r="B10" s="249"/>
      <c r="C10" s="250"/>
      <c r="D10" s="243"/>
      <c r="E10" s="256" t="str">
        <f>IF(TBL_030_QA_SQ[[#This Row],[Name]]&lt;&gt;"", IF(AND(B11&lt;&gt;"", B11= TBL_030_QA_SQ[[#This Row],[Name]]), "Error!", ""), "")</f>
        <v/>
      </c>
      <c r="F10" s="253" t="str">
        <f>IF(TBL_030_QA_SQ[[#This Row],[Name]]&lt;&gt;"", IF(TBL_030_QA_SQ[[#This Row],[Date Completed]]&lt;&gt;"", "", "Add"), "")</f>
        <v/>
      </c>
    </row>
    <row r="11" spans="1:6">
      <c r="A11" s="248" t="s">
        <v>906</v>
      </c>
      <c r="B11" s="249"/>
      <c r="C11" s="250"/>
      <c r="D11" s="243"/>
      <c r="E11" s="251" t="str">
        <f>IF(B10&lt;&gt;"", IF(AND(TBL_030_QA_SQ[[#This Row],[Name]]&lt;&gt;"", B10= TBL_030_QA_SQ[[#This Row],[Name]]), "Error!", IF(TBL_030_QA_SQ[[#This Row],[Name]]&lt;&gt;"", "", "Add")), "")</f>
        <v/>
      </c>
      <c r="F11" s="253" t="str">
        <f>IF(B10&lt;&gt;"", IF(TBL_030_QA_SQ[[#This Row],[Date Completed]]&lt;&gt;"", "", "Add"), "")</f>
        <v/>
      </c>
    </row>
    <row r="12" spans="1:6">
      <c r="A12" s="252" t="s">
        <v>907</v>
      </c>
      <c r="B12" s="249"/>
      <c r="C12" s="250"/>
      <c r="D12" s="243"/>
      <c r="E12" s="256" t="str">
        <f>IF(TBL_030_QA_SQ[[#This Row],[Name]]&lt;&gt;"", IF(AND(B13&lt;&gt;"", B13= TBL_030_QA_SQ[[#This Row],[Name]]), "Error!", ""), "")</f>
        <v/>
      </c>
      <c r="F12" s="253" t="str">
        <f>IF(TBL_030_QA_SQ[[#This Row],[Name]]&lt;&gt;"", IF(TBL_030_QA_SQ[[#This Row],[Date Completed]]&lt;&gt;"", "", "Add"), "")</f>
        <v/>
      </c>
    </row>
    <row r="13" spans="1:6">
      <c r="A13" s="248" t="s">
        <v>908</v>
      </c>
      <c r="B13" s="249"/>
      <c r="C13" s="250"/>
      <c r="D13" s="243"/>
      <c r="E13" s="251" t="str">
        <f>IF(B12&lt;&gt;"", IF(AND(TBL_030_QA_SQ[[#This Row],[Name]]&lt;&gt;"", B12= TBL_030_QA_SQ[[#This Row],[Name]]), "Error!", IF(TBL_030_QA_SQ[[#This Row],[Name]]&lt;&gt;"", "", "Add")), "")</f>
        <v/>
      </c>
      <c r="F13" s="253" t="str">
        <f>IF(B12&lt;&gt;"", IF(TBL_030_QA_SQ[[#This Row],[Date Completed]]&lt;&gt;"", "", "Add"), "")</f>
        <v/>
      </c>
    </row>
    <row r="14" spans="1:6">
      <c r="A14" s="252" t="s">
        <v>909</v>
      </c>
      <c r="B14" s="249"/>
      <c r="C14" s="250"/>
      <c r="D14" s="243"/>
      <c r="E14" s="256" t="str">
        <f>IF(TBL_030_QA_SQ[[#This Row],[Name]]&lt;&gt;"", IF(AND(B15&lt;&gt;"", B15= TBL_030_QA_SQ[[#This Row],[Name]]), "Error!", ""), "")</f>
        <v/>
      </c>
      <c r="F14" s="253" t="str">
        <f>IF(TBL_030_QA_SQ[[#This Row],[Name]]&lt;&gt;"", IF(TBL_030_QA_SQ[[#This Row],[Date Completed]]&lt;&gt;"", "", "Add"), "")</f>
        <v/>
      </c>
    </row>
    <row r="15" spans="1:6">
      <c r="A15" s="248" t="s">
        <v>910</v>
      </c>
      <c r="B15" s="249"/>
      <c r="C15" s="250"/>
      <c r="D15" s="243"/>
      <c r="E15" s="251" t="str">
        <f>IF(B14&lt;&gt;"", IF(AND(TBL_030_QA_SQ[[#This Row],[Name]]&lt;&gt;"", B14= TBL_030_QA_SQ[[#This Row],[Name]]), "Error!", IF(TBL_030_QA_SQ[[#This Row],[Name]]&lt;&gt;"", "", "Add")), "")</f>
        <v/>
      </c>
      <c r="F15" s="253" t="str">
        <f>IF(B14&lt;&gt;"", IF(TBL_030_QA_SQ[[#This Row],[Date Completed]]&lt;&gt;"", "", "Add"), "")</f>
        <v/>
      </c>
    </row>
  </sheetData>
  <sheetProtection algorithmName="SHA-512" hashValue="u2lMdjhe9aW5N4rWNceuW9dIPa7neVlc/xSTWd2bpsR0h+6DrNocar1E+U4uY8t0iPNlA1+9gfqV4sldAoDhuw==" saltValue="T2qw/d0CHbZ41R9E8c3xIg==" spinCount="100000" sheet="1" objects="1" scenarios="1"/>
  <protectedRanges>
    <protectedRange sqref="B2:D15" name="Data"/>
  </protectedRanges>
  <conditionalFormatting sqref="B1:B15">
    <cfRule type="expression" dxfId="553" priority="2">
      <formula>INDIRECT("E"&amp;ROW())="Add"</formula>
    </cfRule>
    <cfRule type="expression" dxfId="552" priority="4">
      <formula>INDIRECT("E"&amp;ROW())="Error!"</formula>
    </cfRule>
  </conditionalFormatting>
  <conditionalFormatting sqref="A1:D15">
    <cfRule type="expression" dxfId="551" priority="3">
      <formula>INDIRECT("E"&amp;ROW())="Shade"</formula>
    </cfRule>
  </conditionalFormatting>
  <conditionalFormatting sqref="C1:C15">
    <cfRule type="expression" dxfId="550" priority="1">
      <formula>INDIRECT("f"&amp;ROW())="Add"</formula>
    </cfRule>
  </conditionalFormatting>
  <dataValidations count="1">
    <dataValidation type="list" allowBlank="1" showInputMessage="1" showErrorMessage="1" sqref="B2:B15" xr:uid="{A679CD49-B1DB-44B6-9634-AA4B6AC87238}">
      <formula1>Names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22"/>
  <sheetViews>
    <sheetView topLeftCell="K1" zoomScaleNormal="100" workbookViewId="0">
      <selection activeCell="AK25" sqref="AK25"/>
    </sheetView>
  </sheetViews>
  <sheetFormatPr baseColWidth="10" defaultColWidth="9.1640625" defaultRowHeight="13"/>
  <cols>
    <col min="1" max="1" width="42.83203125" style="480" hidden="1" customWidth="1"/>
    <col min="2" max="2" width="43.5" style="230" hidden="1" customWidth="1"/>
    <col min="3" max="3" width="35.5" style="485" hidden="1" customWidth="1"/>
    <col min="4" max="4" width="12.1640625" style="485" hidden="1" customWidth="1"/>
    <col min="5" max="5" width="10.83203125" style="480" hidden="1" customWidth="1"/>
    <col min="6" max="6" width="13.83203125" style="480" hidden="1" customWidth="1"/>
    <col min="7" max="7" width="13.1640625" style="480" hidden="1" customWidth="1"/>
    <col min="8" max="8" width="18.6640625" style="480" hidden="1" customWidth="1"/>
    <col min="9" max="10" width="9.1640625" style="480" hidden="1" customWidth="1"/>
    <col min="11" max="11" width="9.1640625" style="480"/>
    <col min="12" max="12" width="53.83203125" style="480" hidden="1" customWidth="1"/>
    <col min="13" max="13" width="3.83203125" style="480" hidden="1" customWidth="1"/>
    <col min="14" max="15" width="0" style="480" hidden="1" customWidth="1"/>
    <col min="16" max="16" width="3.83203125" style="480" hidden="1" customWidth="1"/>
    <col min="17" max="17" width="0" style="480" hidden="1" customWidth="1"/>
    <col min="18" max="18" width="3.5" style="480" hidden="1" customWidth="1"/>
    <col min="19" max="19" width="8.83203125" style="484" hidden="1" customWidth="1"/>
    <col min="20" max="16384" width="9.1640625" style="480"/>
  </cols>
  <sheetData>
    <row r="1" spans="1:19" ht="14">
      <c r="A1" s="474" t="s">
        <v>18</v>
      </c>
      <c r="B1" s="475" t="s">
        <v>19</v>
      </c>
      <c r="C1" s="476" t="s">
        <v>142</v>
      </c>
      <c r="D1" s="477" t="s">
        <v>956</v>
      </c>
      <c r="E1" s="478" t="s">
        <v>777</v>
      </c>
      <c r="F1" s="479" t="s">
        <v>1229</v>
      </c>
      <c r="G1" s="479" t="s">
        <v>1230</v>
      </c>
      <c r="H1" s="478" t="s">
        <v>1231</v>
      </c>
      <c r="I1" s="508"/>
      <c r="J1" s="480" t="str">
        <f>IF(COUNTIF(TBL_001_ProjectInfo[R_Check], "Add")&gt;0, "Incomplete", "Complete")</f>
        <v>Incomplete</v>
      </c>
      <c r="L1" s="481" t="s">
        <v>463</v>
      </c>
      <c r="N1" s="481" t="s">
        <v>928</v>
      </c>
      <c r="O1" s="482" t="s">
        <v>928</v>
      </c>
      <c r="Q1" s="482" t="s">
        <v>24</v>
      </c>
      <c r="S1" s="482" t="s">
        <v>1169</v>
      </c>
    </row>
    <row r="2" spans="1:19" ht="14">
      <c r="A2" s="352" t="s">
        <v>143</v>
      </c>
      <c r="B2" s="352"/>
      <c r="C2" s="352"/>
      <c r="D2" s="352" t="s">
        <v>951</v>
      </c>
      <c r="E2" s="473" t="s">
        <v>1197</v>
      </c>
      <c r="F2" s="483" t="str">
        <f>IF(OR(TBL_001_ProjectInfo[[#This Row],[Type]]="Heading", TBL_001_ProjectInfo[[#This Row],[Required?]]="No"), "", IF(TBL_001_ProjectInfo[[#This Row],[Response]]&lt;&gt;"", "", "Add"))</f>
        <v/>
      </c>
      <c r="G2" s="483"/>
      <c r="H2" s="473"/>
      <c r="I2" s="508"/>
      <c r="L2" s="481" t="s">
        <v>464</v>
      </c>
      <c r="N2" s="481" t="s">
        <v>1009</v>
      </c>
      <c r="O2" s="482" t="s">
        <v>1017</v>
      </c>
      <c r="Q2" s="481" t="s">
        <v>1149</v>
      </c>
      <c r="S2" s="481" t="s">
        <v>1165</v>
      </c>
    </row>
    <row r="3" spans="1:19" ht="14">
      <c r="A3" s="352" t="s">
        <v>61</v>
      </c>
      <c r="B3" s="352" t="s">
        <v>1238</v>
      </c>
      <c r="C3" s="352"/>
      <c r="D3" s="352" t="s">
        <v>951</v>
      </c>
      <c r="E3" s="473" t="s">
        <v>24</v>
      </c>
      <c r="F3" s="473" t="str">
        <f>IF(OR(TBL_001_ProjectInfo[[#This Row],[Type]]="Heading", TBL_001_ProjectInfo[[#This Row],[Required?]]="No"), "", IF(TBL_001_ProjectInfo[[#This Row],[Response]]&lt;&gt;"", "", "Add"))</f>
        <v/>
      </c>
      <c r="G3" s="473" t="s">
        <v>100</v>
      </c>
      <c r="H3" s="473"/>
      <c r="I3" s="508"/>
      <c r="L3" s="481" t="s">
        <v>465</v>
      </c>
      <c r="N3" s="481"/>
      <c r="O3" s="481" t="s">
        <v>940</v>
      </c>
      <c r="Q3" s="481" t="s">
        <v>940</v>
      </c>
      <c r="S3" s="481" t="s">
        <v>1168</v>
      </c>
    </row>
    <row r="4" spans="1:19" s="230" customFormat="1" ht="14">
      <c r="A4" s="352" t="s">
        <v>156</v>
      </c>
      <c r="B4" s="352" t="s">
        <v>877</v>
      </c>
      <c r="C4" s="352" t="str">
        <f>IF(TBL_001_ProjectInfo[[#This Row],[Response]]&lt;&gt;"", CONCATENATE(LEFT(TBL_001_ProjectInfo[[#This Row],[Response]], 1), LEFT(SUBSTITUTE(TBL_001_ProjectInfo[[#This Row],[Response]], LEFT(TBL_001_ProjectInfo[[#This Row],[Response]],FIND(" ",TBL_001_ProjectInfo[[#This Row],[Response]],1)), ""), 1)), "")</f>
        <v>EP</v>
      </c>
      <c r="D4" s="352" t="s">
        <v>951</v>
      </c>
      <c r="E4" s="473" t="s">
        <v>24</v>
      </c>
      <c r="F4" s="473" t="str">
        <f>IF(OR(TBL_001_ProjectInfo[[#This Row],[Type]]="Heading", TBL_001_ProjectInfo[[#This Row],[Required?]]="No"), "", IF(TBL_001_ProjectInfo[[#This Row],[Response]]&lt;&gt;"", "", "Add"))</f>
        <v/>
      </c>
      <c r="G4" s="473" t="s">
        <v>100</v>
      </c>
      <c r="H4" s="473"/>
      <c r="I4" s="508"/>
      <c r="J4" s="480"/>
      <c r="K4" s="480"/>
      <c r="L4" s="481" t="s">
        <v>466</v>
      </c>
      <c r="M4" s="480"/>
      <c r="N4" s="480"/>
      <c r="O4" s="480"/>
      <c r="P4" s="480"/>
      <c r="Q4" s="480"/>
      <c r="R4" s="480"/>
      <c r="S4" s="481" t="s">
        <v>1170</v>
      </c>
    </row>
    <row r="5" spans="1:19" s="230" customFormat="1" ht="14">
      <c r="A5" s="352" t="s">
        <v>96</v>
      </c>
      <c r="B5" s="352" t="s">
        <v>1239</v>
      </c>
      <c r="C5" s="352" t="str">
        <f>IF(TBL_001_ProjectInfo[[#This Row],[Response]]&lt;&gt;"", CONCATENATE(LEFT(TBL_001_ProjectInfo[[#This Row],[Response]], 1), LEFT(SUBSTITUTE(TBL_001_ProjectInfo[[#This Row],[Response]], LEFT(TBL_001_ProjectInfo[[#This Row],[Response]],FIND(" ",TBL_001_ProjectInfo[[#This Row],[Response]],1)), ""), 1)), "")</f>
        <v>JH</v>
      </c>
      <c r="D5" s="352" t="s">
        <v>951</v>
      </c>
      <c r="E5" s="473" t="s">
        <v>24</v>
      </c>
      <c r="F5" s="473" t="str">
        <f>IF(OR(TBL_001_ProjectInfo[[#This Row],[Type]]="Heading", TBL_001_ProjectInfo[[#This Row],[Required?]]="No"), "", IF(TBL_001_ProjectInfo[[#This Row],[Response]]&lt;&gt;"", "", "Add"))</f>
        <v/>
      </c>
      <c r="G5" s="473" t="s">
        <v>100</v>
      </c>
      <c r="H5" s="473"/>
      <c r="I5" s="508"/>
      <c r="J5" s="480"/>
      <c r="K5" s="480"/>
      <c r="L5" s="481" t="s">
        <v>467</v>
      </c>
      <c r="M5" s="480"/>
      <c r="N5" s="480"/>
      <c r="O5" s="480"/>
      <c r="P5" s="480"/>
      <c r="Q5" s="480"/>
      <c r="R5" s="480"/>
      <c r="S5" s="481" t="s">
        <v>1171</v>
      </c>
    </row>
    <row r="6" spans="1:19" s="230" customFormat="1" ht="14">
      <c r="A6" s="352" t="s">
        <v>999</v>
      </c>
      <c r="B6" s="352" t="s">
        <v>989</v>
      </c>
      <c r="C6" s="352"/>
      <c r="D6" s="352" t="s">
        <v>951</v>
      </c>
      <c r="E6" s="473" t="s">
        <v>24</v>
      </c>
      <c r="F6" s="473" t="str">
        <f>IF(OR(TBL_001_ProjectInfo[[#This Row],[Type]]="Heading", TBL_001_ProjectInfo[[#This Row],[Required?]]="No"), "", IF(TBL_001_ProjectInfo[[#This Row],[Response]]&lt;&gt;"", "", "Add"))</f>
        <v/>
      </c>
      <c r="G6" s="473" t="s">
        <v>100</v>
      </c>
      <c r="H6" s="473"/>
      <c r="I6" s="508"/>
      <c r="J6" s="480"/>
      <c r="K6" s="480"/>
      <c r="L6" s="480"/>
      <c r="M6" s="480"/>
      <c r="N6" s="480"/>
      <c r="O6" s="480"/>
      <c r="P6" s="480"/>
      <c r="Q6" s="480"/>
      <c r="R6" s="480"/>
      <c r="S6" s="481" t="s">
        <v>1172</v>
      </c>
    </row>
    <row r="7" spans="1:19" s="230" customFormat="1" ht="14">
      <c r="A7" s="352" t="s">
        <v>7</v>
      </c>
      <c r="B7" s="352" t="s">
        <v>1236</v>
      </c>
      <c r="C7" s="352"/>
      <c r="D7" s="352" t="s">
        <v>951</v>
      </c>
      <c r="E7" s="473" t="s">
        <v>24</v>
      </c>
      <c r="F7" s="473" t="str">
        <f>IF(OR(TBL_001_ProjectInfo[[#This Row],[Type]]="Heading", TBL_001_ProjectInfo[[#This Row],[Required?]]="No"), "", IF(TBL_001_ProjectInfo[[#This Row],[Response]]&lt;&gt;"", "", "Add"))</f>
        <v/>
      </c>
      <c r="G7" s="473" t="s">
        <v>100</v>
      </c>
      <c r="H7" s="473"/>
      <c r="I7" s="508"/>
      <c r="J7" s="480"/>
      <c r="K7" s="480"/>
      <c r="L7" s="480"/>
      <c r="M7" s="480"/>
      <c r="N7" s="480"/>
      <c r="O7" s="480"/>
      <c r="P7" s="480"/>
      <c r="Q7" s="480"/>
      <c r="R7" s="480"/>
      <c r="S7" s="481" t="s">
        <v>1166</v>
      </c>
    </row>
    <row r="8" spans="1:19" s="230" customFormat="1" ht="14">
      <c r="A8" s="352" t="s">
        <v>9</v>
      </c>
      <c r="B8" s="352" t="s">
        <v>1237</v>
      </c>
      <c r="C8" s="352"/>
      <c r="D8" s="352" t="s">
        <v>951</v>
      </c>
      <c r="E8" s="473" t="s">
        <v>24</v>
      </c>
      <c r="F8" s="473" t="str">
        <f>IF(OR(TBL_001_ProjectInfo[[#This Row],[Type]]="Heading", TBL_001_ProjectInfo[[#This Row],[Required?]]="No"), "", IF(TBL_001_ProjectInfo[[#This Row],[Response]]&lt;&gt;"", "", "Add"))</f>
        <v/>
      </c>
      <c r="G8" s="473" t="s">
        <v>100</v>
      </c>
      <c r="H8" s="473"/>
      <c r="I8" s="508"/>
      <c r="J8" s="480"/>
      <c r="K8" s="480"/>
      <c r="L8" s="480"/>
      <c r="M8" s="480"/>
      <c r="N8" s="480"/>
      <c r="O8" s="480"/>
      <c r="P8" s="480"/>
      <c r="Q8" s="480"/>
      <c r="R8" s="480"/>
      <c r="S8" s="481" t="s">
        <v>1167</v>
      </c>
    </row>
    <row r="9" spans="1:19" s="230" customFormat="1" ht="28">
      <c r="A9" s="352" t="s">
        <v>0</v>
      </c>
      <c r="B9" s="352" t="s">
        <v>1240</v>
      </c>
      <c r="C9" s="352"/>
      <c r="D9" s="352" t="s">
        <v>951</v>
      </c>
      <c r="E9" s="473" t="s">
        <v>24</v>
      </c>
      <c r="F9" s="473" t="str">
        <f>IF(OR(TBL_001_ProjectInfo[[#This Row],[Type]]="Heading", TBL_001_ProjectInfo[[#This Row],[Required?]]="No"), "", IF(TBL_001_ProjectInfo[[#This Row],[Response]]&lt;&gt;"", "", "Add"))</f>
        <v/>
      </c>
      <c r="G9" s="473" t="s">
        <v>100</v>
      </c>
      <c r="H9" s="473"/>
      <c r="I9" s="508"/>
      <c r="J9" s="480"/>
      <c r="K9" s="480"/>
      <c r="L9" s="480"/>
      <c r="M9" s="480"/>
      <c r="N9" s="480"/>
      <c r="O9" s="480"/>
      <c r="P9" s="480"/>
      <c r="Q9" s="480"/>
      <c r="R9" s="480"/>
      <c r="S9" s="484"/>
    </row>
    <row r="10" spans="1:19" s="230" customFormat="1" ht="14">
      <c r="A10" s="352" t="s">
        <v>163</v>
      </c>
      <c r="B10" s="352" t="s">
        <v>1241</v>
      </c>
      <c r="C10" s="352"/>
      <c r="D10" s="352" t="s">
        <v>951</v>
      </c>
      <c r="E10" s="473" t="s">
        <v>24</v>
      </c>
      <c r="F10" s="473" t="str">
        <f>IF(OR(TBL_001_ProjectInfo[[#This Row],[Type]]="Heading", TBL_001_ProjectInfo[[#This Row],[Required?]]="No"), "", IF(TBL_001_ProjectInfo[[#This Row],[Response]]&lt;&gt;"", "", "Add"))</f>
        <v/>
      </c>
      <c r="G10" s="473" t="s">
        <v>100</v>
      </c>
      <c r="H10" s="473"/>
      <c r="I10" s="508"/>
      <c r="J10" s="480"/>
      <c r="K10" s="480"/>
      <c r="L10" s="480"/>
      <c r="M10" s="480"/>
      <c r="N10" s="480"/>
      <c r="O10" s="480"/>
      <c r="P10" s="480"/>
      <c r="Q10" s="480"/>
      <c r="R10" s="480"/>
      <c r="S10" s="484"/>
    </row>
    <row r="11" spans="1:19" s="230" customFormat="1" ht="14">
      <c r="A11" s="352" t="s">
        <v>8</v>
      </c>
      <c r="B11" s="352" t="s">
        <v>1242</v>
      </c>
      <c r="C11" s="352"/>
      <c r="D11" s="352" t="s">
        <v>951</v>
      </c>
      <c r="E11" s="473" t="s">
        <v>24</v>
      </c>
      <c r="F11" s="473" t="str">
        <f>IF(OR(TBL_001_ProjectInfo[[#This Row],[Type]]="Heading", TBL_001_ProjectInfo[[#This Row],[Required?]]="No"), "", IF(TBL_001_ProjectInfo[[#This Row],[Response]]&lt;&gt;"", "", "Add"))</f>
        <v/>
      </c>
      <c r="G11" s="473" t="s">
        <v>100</v>
      </c>
      <c r="H11" s="473"/>
      <c r="I11" s="508"/>
      <c r="J11" s="480"/>
      <c r="K11" s="480"/>
      <c r="L11" s="480"/>
      <c r="M11" s="480"/>
      <c r="N11" s="480"/>
      <c r="O11" s="480"/>
      <c r="P11" s="480"/>
      <c r="Q11" s="480"/>
      <c r="R11" s="480"/>
      <c r="S11" s="484"/>
    </row>
    <row r="12" spans="1:19" s="230" customFormat="1" ht="14">
      <c r="A12" s="352" t="s">
        <v>6</v>
      </c>
      <c r="B12" s="352" t="s">
        <v>1243</v>
      </c>
      <c r="C12" s="352"/>
      <c r="D12" s="352" t="s">
        <v>951</v>
      </c>
      <c r="E12" s="473" t="s">
        <v>24</v>
      </c>
      <c r="F12" s="473" t="str">
        <f>IF(OR(TBL_001_ProjectInfo[[#This Row],[Type]]="Heading", TBL_001_ProjectInfo[[#This Row],[Required?]]="No"), "", IF(TBL_001_ProjectInfo[[#This Row],[Response]]&lt;&gt;"", "", "Add"))</f>
        <v/>
      </c>
      <c r="G12" s="473" t="s">
        <v>100</v>
      </c>
      <c r="H12" s="473"/>
      <c r="I12" s="508"/>
      <c r="J12" s="480"/>
      <c r="K12" s="480"/>
      <c r="L12" s="480"/>
      <c r="M12" s="480"/>
      <c r="N12" s="480"/>
      <c r="O12" s="480"/>
      <c r="P12" s="480"/>
      <c r="Q12" s="480"/>
      <c r="R12" s="480"/>
      <c r="S12" s="484"/>
    </row>
    <row r="13" spans="1:19" s="230" customFormat="1" ht="14">
      <c r="A13" s="352" t="s">
        <v>74</v>
      </c>
      <c r="B13" s="352" t="s">
        <v>25</v>
      </c>
      <c r="C13" s="352"/>
      <c r="D13" s="352" t="s">
        <v>951</v>
      </c>
      <c r="E13" s="473" t="s">
        <v>24</v>
      </c>
      <c r="F13" s="473" t="str">
        <f>IF(OR(TBL_001_ProjectInfo[[#This Row],[Type]]="Heading", TBL_001_ProjectInfo[[#This Row],[Required?]]="No"), "", IF(TBL_001_ProjectInfo[[#This Row],[Response]]&lt;&gt;"", "", "Add"))</f>
        <v/>
      </c>
      <c r="G13" s="473" t="s">
        <v>100</v>
      </c>
      <c r="H13" s="473"/>
      <c r="I13" s="508"/>
      <c r="J13" s="480"/>
      <c r="K13" s="480"/>
      <c r="L13" s="480"/>
      <c r="M13" s="480"/>
      <c r="N13" s="480"/>
      <c r="O13" s="480"/>
      <c r="P13" s="480"/>
      <c r="Q13" s="480"/>
      <c r="R13" s="480"/>
      <c r="S13" s="484"/>
    </row>
    <row r="14" spans="1:19" s="230" customFormat="1" ht="14">
      <c r="A14" s="352" t="s">
        <v>2</v>
      </c>
      <c r="B14" s="352" t="s">
        <v>1052</v>
      </c>
      <c r="C14" s="352"/>
      <c r="D14" s="352" t="s">
        <v>951</v>
      </c>
      <c r="E14" s="473" t="s">
        <v>24</v>
      </c>
      <c r="F14" s="473" t="str">
        <f>IF(OR(TBL_001_ProjectInfo[[#This Row],[Type]]="Heading", TBL_001_ProjectInfo[[#This Row],[Required?]]="No"), "", IF(TBL_001_ProjectInfo[[#This Row],[Response]]&lt;&gt;"", "", "Add"))</f>
        <v/>
      </c>
      <c r="G14" s="473" t="s">
        <v>100</v>
      </c>
      <c r="H14" s="473"/>
      <c r="I14" s="508"/>
      <c r="J14" s="480"/>
      <c r="K14" s="480"/>
      <c r="L14" s="480"/>
      <c r="M14" s="480"/>
      <c r="N14" s="480"/>
      <c r="O14" s="480"/>
      <c r="P14" s="480"/>
      <c r="Q14" s="480"/>
      <c r="R14" s="480"/>
      <c r="S14" s="484"/>
    </row>
    <row r="15" spans="1:19" s="230" customFormat="1" ht="14">
      <c r="A15" s="352" t="s">
        <v>1060</v>
      </c>
      <c r="B15" s="352" t="s">
        <v>1058</v>
      </c>
      <c r="C15" s="352" t="str">
        <f>IF(TBL_001_ProjectInfo[[#This Row],[Response]]="Less than £25K", "Note:  No need to advertsie on Contracts Finder", "")</f>
        <v/>
      </c>
      <c r="D15" s="352" t="s">
        <v>951</v>
      </c>
      <c r="E15" s="473" t="s">
        <v>24</v>
      </c>
      <c r="F15" s="473" t="str">
        <f>IF(OR(TBL_001_ProjectInfo[[#This Row],[Type]]="Heading", TBL_001_ProjectInfo[[#This Row],[Required?]]="No"), "", IF(TBL_001_ProjectInfo[[#This Row],[Response]]&lt;&gt;"", "", "Add"))</f>
        <v/>
      </c>
      <c r="G15" s="473" t="str">
        <f>IF(TBL_001_ProjectInfo[[#This Row],[Comments]]&lt;&gt;"", "Note", "Shade")</f>
        <v>Shade</v>
      </c>
      <c r="H15" s="473"/>
      <c r="I15" s="508"/>
      <c r="J15" s="480"/>
      <c r="K15" s="480"/>
      <c r="L15" s="480"/>
      <c r="M15" s="480"/>
      <c r="N15" s="480"/>
      <c r="O15" s="480"/>
      <c r="P15" s="480"/>
      <c r="Q15" s="480"/>
      <c r="R15" s="480"/>
      <c r="S15" s="484"/>
    </row>
    <row r="16" spans="1:19" s="230" customFormat="1" ht="14">
      <c r="A16" s="352" t="s">
        <v>171</v>
      </c>
      <c r="B16" s="352" t="s">
        <v>951</v>
      </c>
      <c r="C16" s="352" t="str">
        <f>IF(OR(AND(B14="works", B15="Greater than £4.5M", TBL_001_ProjectInfo[[#This Row],[Response]]="No (closed list)"), AND(OR(B14="services", B14="supplies"), B15="Greater than £181K", TBL_001_ProjectInfo[[#This Row],[Response]]="No (closed list)")), "Error must be advertsied", "")</f>
        <v/>
      </c>
      <c r="D16" s="352" t="s">
        <v>951</v>
      </c>
      <c r="E16" s="473" t="s">
        <v>24</v>
      </c>
      <c r="F16" s="473" t="str">
        <f>IF(OR(TBL_001_ProjectInfo[[#This Row],[Type]]="Heading", TBL_001_ProjectInfo[[#This Row],[Required?]]="No"), "", IF(TBL_001_ProjectInfo[[#This Row],[Response]]&lt;&gt;"", "", "Add"))</f>
        <v/>
      </c>
      <c r="G16" s="473" t="str">
        <f>IF(TBL_001_ProjectInfo[[#This Row],[Comments]]&lt;&gt;"", "Error!", "Shade")</f>
        <v>Shade</v>
      </c>
      <c r="H16" s="473"/>
      <c r="I16" s="508"/>
      <c r="J16" s="480"/>
      <c r="K16" s="480"/>
      <c r="L16" s="480"/>
      <c r="M16" s="480"/>
      <c r="N16" s="480"/>
      <c r="O16" s="480"/>
      <c r="P16" s="480"/>
      <c r="Q16" s="480"/>
      <c r="R16" s="480"/>
      <c r="S16" s="484"/>
    </row>
    <row r="17" spans="1:19" s="230" customFormat="1" ht="14">
      <c r="A17" s="352" t="s">
        <v>1062</v>
      </c>
      <c r="B17" s="352" t="s">
        <v>928</v>
      </c>
      <c r="C17" s="352"/>
      <c r="D17" s="352" t="s">
        <v>951</v>
      </c>
      <c r="E17" s="473" t="s">
        <v>24</v>
      </c>
      <c r="F17" s="473" t="str">
        <f>IF(OR(TBL_001_ProjectInfo[[#This Row],[Type]]="Heading", TBL_001_ProjectInfo[[#This Row],[Required?]]="No"), "", IF(TBL_001_ProjectInfo[[#This Row],[Response]]&lt;&gt;"", "", "Add"))</f>
        <v/>
      </c>
      <c r="G17" s="473" t="s">
        <v>100</v>
      </c>
      <c r="H17" s="349" t="str">
        <f>IF(OR($B$15=Lookups!$F$7, $B$15=Lookups!$F$8), Lookups!$F$12, IF('Project Info'!$B$14="works", Lookups!$G$12, Lookups!$H$12))</f>
        <v>SQ_List_3</v>
      </c>
      <c r="I17" s="508"/>
      <c r="J17" s="480"/>
      <c r="K17" s="480"/>
      <c r="L17" s="480"/>
      <c r="M17" s="480"/>
      <c r="N17" s="480"/>
      <c r="O17" s="480"/>
      <c r="P17" s="480"/>
      <c r="Q17" s="480"/>
      <c r="R17" s="480"/>
      <c r="S17" s="484"/>
    </row>
    <row r="18" spans="1:19" s="230" customFormat="1" ht="14">
      <c r="A18" s="352" t="s">
        <v>197</v>
      </c>
      <c r="B18" s="352" t="s">
        <v>1068</v>
      </c>
      <c r="C18" s="352" t="str">
        <f>IF(B17="SA", IF(TBL_001_ProjectInfo[[#This Row],[Response]]="Open Procedure", "", "Error - Must be single stage process"), "")</f>
        <v/>
      </c>
      <c r="D18" s="352" t="s">
        <v>951</v>
      </c>
      <c r="E18" s="473" t="s">
        <v>24</v>
      </c>
      <c r="F18" s="473" t="str">
        <f>IF(OR(TBL_001_ProjectInfo[[#This Row],[Type]]="Heading", TBL_001_ProjectInfo[[#This Row],[Required?]]="No"), "", IF(TBL_001_ProjectInfo[[#This Row],[Response]]&lt;&gt;"", "", "Add"))</f>
        <v/>
      </c>
      <c r="G18" s="473" t="str">
        <f>IF(TBL_001_ProjectInfo[[#This Row],[Comments]]&lt;&gt;"", "Error!", "Shade")</f>
        <v>Shade</v>
      </c>
      <c r="H18" s="473"/>
      <c r="I18" s="508"/>
      <c r="J18" s="480"/>
      <c r="K18" s="480"/>
      <c r="L18" s="480"/>
      <c r="M18" s="480"/>
      <c r="N18" s="480"/>
      <c r="O18" s="480"/>
      <c r="P18" s="480"/>
      <c r="Q18" s="480"/>
      <c r="R18" s="480"/>
      <c r="S18" s="484"/>
    </row>
    <row r="19" spans="1:19" s="230" customFormat="1" ht="14">
      <c r="A19" s="352" t="s">
        <v>911</v>
      </c>
      <c r="B19" s="352" t="s">
        <v>913</v>
      </c>
      <c r="C19" s="352"/>
      <c r="D19" s="352" t="s">
        <v>951</v>
      </c>
      <c r="E19" s="473" t="s">
        <v>24</v>
      </c>
      <c r="F19" s="473" t="str">
        <f>IF(OR(TBL_001_ProjectInfo[[#This Row],[Type]]="Heading", TBL_001_ProjectInfo[[#This Row],[Required?]]="No"), "", IF(TBL_001_ProjectInfo[[#This Row],[Response]]&lt;&gt;"", "", "Add"))</f>
        <v/>
      </c>
      <c r="G19" s="473" t="str">
        <f>IF(TBL_001_ProjectInfo[[#This Row],[Response]]="Other (please state)", IF(TBL_001_ProjectInfo[[#This Row],[Comments]]&lt;&gt;"", "", "Add"), "Shade")</f>
        <v>Shade</v>
      </c>
      <c r="H19" s="473"/>
      <c r="I19" s="508"/>
      <c r="J19" s="480"/>
      <c r="K19" s="480"/>
      <c r="L19" s="480"/>
      <c r="M19" s="480"/>
      <c r="N19" s="480"/>
      <c r="O19" s="480"/>
      <c r="P19" s="480"/>
      <c r="Q19" s="480"/>
      <c r="R19" s="480"/>
      <c r="S19" s="484"/>
    </row>
    <row r="20" spans="1:19" s="230" customFormat="1" ht="28">
      <c r="A20" s="352" t="s">
        <v>1016</v>
      </c>
      <c r="B20" s="352" t="s">
        <v>928</v>
      </c>
      <c r="C20" s="352" t="str">
        <f>IF($B$19="MyTenders", "Check we have authority to publish on myTenders!", "")</f>
        <v>Check we have authority to publish on myTenders!</v>
      </c>
      <c r="D20" s="352" t="s">
        <v>951</v>
      </c>
      <c r="E20" s="473" t="s">
        <v>24</v>
      </c>
      <c r="F20" s="473" t="str">
        <f>IF(OR(TBL_001_ProjectInfo[[#This Row],[Type]]="Heading", TBL_001_ProjectInfo[[#This Row],[Required?]]="No"), "", IF(TBL_001_ProjectInfo[[#This Row],[Response]]&lt;&gt;"", "", "Add"))</f>
        <v/>
      </c>
      <c r="G20" s="473" t="str">
        <f>IF($B$19="MyTenders", "Note", "Shade")</f>
        <v>Note</v>
      </c>
      <c r="H20" s="473"/>
      <c r="I20" s="508"/>
      <c r="J20" s="480"/>
      <c r="K20" s="480"/>
      <c r="L20" s="480"/>
      <c r="M20" s="480"/>
      <c r="N20" s="480"/>
      <c r="O20" s="480"/>
      <c r="P20" s="480"/>
      <c r="Q20" s="480"/>
      <c r="R20" s="480"/>
      <c r="S20" s="484"/>
    </row>
    <row r="21" spans="1:19" s="230" customFormat="1" ht="14">
      <c r="A21" s="352" t="s">
        <v>1148</v>
      </c>
      <c r="B21" s="352" t="str">
        <f>IF(OR($B$18="Open Procedure", $B$20="SQ"),$N$2, IF($B$20="Final", "Final", "Draft"))</f>
        <v>Tender</v>
      </c>
      <c r="C21" s="352"/>
      <c r="D21" s="352" t="str">
        <f>IF(OR($B$18="Open Procedure", $B$20="SQ"), "No", "Yes")</f>
        <v>No</v>
      </c>
      <c r="E21" s="473" t="s">
        <v>24</v>
      </c>
      <c r="F21" s="473" t="str">
        <f>IF(OR(TBL_001_ProjectInfo[[#This Row],[Type]]="Heading", TBL_001_ProjectInfo[[#This Row],[Required?]]="No"), "", IF(TBL_001_ProjectInfo[[#This Row],[Response]]&lt;&gt;"", "", "Add"))</f>
        <v/>
      </c>
      <c r="G21" s="473" t="s">
        <v>100</v>
      </c>
      <c r="H21" s="473"/>
      <c r="I21" s="508"/>
      <c r="J21" s="480"/>
      <c r="K21" s="480"/>
      <c r="L21" s="480"/>
      <c r="M21" s="480"/>
      <c r="N21" s="480"/>
      <c r="O21" s="480"/>
      <c r="P21" s="480"/>
      <c r="Q21" s="480"/>
      <c r="R21" s="480"/>
      <c r="S21" s="484"/>
    </row>
    <row r="22" spans="1:19" s="230" customFormat="1" ht="14">
      <c r="A22" s="471" t="s">
        <v>760</v>
      </c>
      <c r="B22" s="352"/>
      <c r="C22" s="352"/>
      <c r="D22" s="352" t="s">
        <v>951</v>
      </c>
      <c r="E22" s="473" t="s">
        <v>1197</v>
      </c>
      <c r="F22" s="473" t="str">
        <f>IF(OR(TBL_001_ProjectInfo[[#This Row],[Type]]="Heading", TBL_001_ProjectInfo[[#This Row],[Required?]]="No"), "", IF(TBL_001_ProjectInfo[[#This Row],[Response]]&lt;&gt;"", "", "Add"))</f>
        <v/>
      </c>
      <c r="G22" s="473"/>
      <c r="H22" s="349"/>
      <c r="I22" s="508"/>
      <c r="J22" s="480"/>
      <c r="K22" s="480"/>
      <c r="L22" s="480"/>
      <c r="M22" s="480"/>
      <c r="N22" s="480"/>
      <c r="O22" s="480"/>
      <c r="P22" s="480"/>
      <c r="Q22" s="480"/>
      <c r="R22" s="480"/>
      <c r="S22" s="484"/>
    </row>
    <row r="23" spans="1:19" s="230" customFormat="1" ht="14">
      <c r="A23" s="352" t="s">
        <v>955</v>
      </c>
      <c r="B23" s="352" t="s">
        <v>951</v>
      </c>
      <c r="C23" s="352"/>
      <c r="D23" s="352" t="s">
        <v>951</v>
      </c>
      <c r="E23" s="473" t="s">
        <v>24</v>
      </c>
      <c r="F23" s="473" t="str">
        <f>IF(OR(TBL_001_ProjectInfo[[#This Row],[Type]]="Heading", TBL_001_ProjectInfo[[#This Row],[Required?]]="No"), "", IF(TBL_001_ProjectInfo[[#This Row],[Response]]&lt;&gt;"", "", "Add"))</f>
        <v/>
      </c>
      <c r="G23" s="473" t="s">
        <v>100</v>
      </c>
      <c r="H23" s="349"/>
      <c r="I23" s="508"/>
      <c r="J23" s="480"/>
      <c r="K23" s="480"/>
      <c r="L23" s="480"/>
      <c r="M23" s="480"/>
      <c r="N23" s="480"/>
      <c r="O23" s="480"/>
      <c r="P23" s="480"/>
      <c r="Q23" s="480"/>
      <c r="R23" s="480"/>
      <c r="S23" s="484"/>
    </row>
    <row r="24" spans="1:19" s="230" customFormat="1" ht="28">
      <c r="A24" s="352" t="s">
        <v>145</v>
      </c>
      <c r="B24" s="352">
        <v>6</v>
      </c>
      <c r="C24" s="352" t="str">
        <f>IF(No_Lots?="N/A", "", IF(AND(No_Lots?&lt;&gt;"", No_Lots?&gt;5), "Please ask Jen for help on adding lot(s) after Lot 5", ""))</f>
        <v>Please ask Jen for help on adding lot(s) after Lot 5</v>
      </c>
      <c r="D24" s="352" t="str">
        <f>IF(Lotted?="No", "No", "Yes")</f>
        <v>Yes</v>
      </c>
      <c r="E24" s="473" t="s">
        <v>24</v>
      </c>
      <c r="F24" s="473" t="str">
        <f>IF(OR(TBL_001_ProjectInfo[[#This Row],[Type]]="Heading", TBL_001_ProjectInfo[[#This Row],[Required?]]="No"), "", IF(TBL_001_ProjectInfo[[#This Row],[Response]]&lt;&gt;"", "", "Add"))</f>
        <v/>
      </c>
      <c r="G24" s="473" t="str">
        <f>IF(TBL_001_ProjectInfo[[#This Row],[Comments]]&lt;&gt;"", "Note", "Shade")</f>
        <v>Note</v>
      </c>
      <c r="H24" s="349"/>
      <c r="I24" s="508"/>
      <c r="J24" s="480"/>
      <c r="K24" s="480"/>
      <c r="L24" s="480"/>
      <c r="M24" s="480"/>
      <c r="N24" s="480"/>
      <c r="O24" s="480"/>
      <c r="P24" s="480"/>
      <c r="Q24" s="480"/>
      <c r="R24" s="480"/>
      <c r="S24" s="484"/>
    </row>
    <row r="25" spans="1:19" s="230" customFormat="1" ht="28">
      <c r="A25" s="352" t="s">
        <v>1163</v>
      </c>
      <c r="B25" s="352" t="s">
        <v>1156</v>
      </c>
      <c r="C25" s="352" t="str">
        <f>IF(No_Lots?="N/A", "", IF(AND(No_Lots?&lt;&gt;"", No_Lots?&gt;5), "Please ask Jen for help on adding lot(s) after Lot 5", ""))</f>
        <v>Please ask Jen for help on adding lot(s) after Lot 5</v>
      </c>
      <c r="D25" s="352" t="str">
        <f>IF(Lotted?="No", "No", "Yes")</f>
        <v>Yes</v>
      </c>
      <c r="E25" s="473" t="s">
        <v>24</v>
      </c>
      <c r="F25" s="473" t="str">
        <f>IF(OR(TBL_001_ProjectInfo[[#This Row],[Type]]="Heading", TBL_001_ProjectInfo[[#This Row],[Required?]]="No"), "", IF(TBL_001_ProjectInfo[[#This Row],[Response]]&lt;&gt;"", "", "Add"))</f>
        <v/>
      </c>
      <c r="G25" s="473" t="str">
        <f>IF(TBL_001_ProjectInfo[[#This Row],[Comments]]&lt;&gt;"", "Note", "Shade")</f>
        <v>Note</v>
      </c>
      <c r="H25" s="473"/>
      <c r="I25" s="508"/>
      <c r="J25" s="480"/>
      <c r="K25" s="480"/>
      <c r="L25" s="480"/>
      <c r="M25" s="480"/>
      <c r="N25" s="480"/>
      <c r="O25" s="480"/>
      <c r="P25" s="480"/>
      <c r="Q25" s="480"/>
      <c r="R25" s="480"/>
      <c r="S25" s="484"/>
    </row>
    <row r="26" spans="1:19" s="230" customFormat="1" ht="14">
      <c r="A26" s="471" t="s">
        <v>871</v>
      </c>
      <c r="B26" s="352"/>
      <c r="C26" s="352"/>
      <c r="D26" s="352" t="str">
        <f>IF(Lotted?="No", "No", "Yes")</f>
        <v>Yes</v>
      </c>
      <c r="E26" s="473" t="s">
        <v>1197</v>
      </c>
      <c r="F26" s="349" t="str">
        <f>IF(OR(TBL_001_ProjectInfo[[#This Row],[Type]]="Heading", TBL_001_ProjectInfo[[#This Row],[Required?]]="No"), "", IF(TBL_001_ProjectInfo[[#This Row],[Response]]&lt;&gt;"", "", "Add"))</f>
        <v/>
      </c>
      <c r="G26" s="473"/>
      <c r="H26" s="349"/>
      <c r="I26" s="508"/>
      <c r="J26" s="480"/>
      <c r="K26" s="480"/>
      <c r="L26" s="480"/>
      <c r="M26" s="480"/>
      <c r="N26" s="480"/>
      <c r="O26" s="480"/>
      <c r="P26" s="480"/>
      <c r="Q26" s="480"/>
      <c r="R26" s="480"/>
      <c r="S26" s="484"/>
    </row>
    <row r="27" spans="1:19" s="230" customFormat="1" ht="28">
      <c r="A27" s="352" t="s">
        <v>872</v>
      </c>
      <c r="B27" s="352" t="s">
        <v>762</v>
      </c>
      <c r="C27" s="352"/>
      <c r="D27" s="352" t="str">
        <f>IF(Lotted?="No", "No", "Yes")</f>
        <v>Yes</v>
      </c>
      <c r="E27" s="473" t="s">
        <v>24</v>
      </c>
      <c r="F27" s="349" t="str">
        <f>IF(OR(TBL_001_ProjectInfo[[#This Row],[Type]]="Heading", TBL_001_ProjectInfo[[#This Row],[Required?]]="No"), "", IF(TBL_001_ProjectInfo[[#This Row],[Response]]&lt;&gt;"", "", "Add"))</f>
        <v/>
      </c>
      <c r="G27" s="473" t="s">
        <v>100</v>
      </c>
      <c r="H27" s="349"/>
      <c r="I27" s="508"/>
      <c r="J27" s="480"/>
      <c r="K27" s="480"/>
      <c r="L27" s="480"/>
      <c r="M27" s="480"/>
      <c r="N27" s="480"/>
      <c r="O27" s="480"/>
      <c r="P27" s="480"/>
      <c r="Q27" s="480"/>
      <c r="R27" s="480"/>
      <c r="S27" s="484"/>
    </row>
    <row r="28" spans="1:19" s="230" customFormat="1" ht="14">
      <c r="A28" s="352" t="s">
        <v>1205</v>
      </c>
      <c r="B28" s="352" t="str">
        <f>IF($B$27="Yes", "", "N/A")</f>
        <v>N/A</v>
      </c>
      <c r="C28" s="352"/>
      <c r="D28" s="352" t="str">
        <f>IF(B27="Yes", "Yes", "No")</f>
        <v>No</v>
      </c>
      <c r="E28" s="473" t="s">
        <v>24</v>
      </c>
      <c r="F28" s="349" t="str">
        <f>IF(OR(TBL_001_ProjectInfo[[#This Row],[Type]]="Heading", TBL_001_ProjectInfo[[#This Row],[Required?]]="No"), "", IF(TBL_001_ProjectInfo[[#This Row],[Response]]&lt;&gt;"", "", "Add"))</f>
        <v/>
      </c>
      <c r="G28" s="473" t="s">
        <v>100</v>
      </c>
      <c r="H28" s="349"/>
      <c r="I28" s="508"/>
      <c r="J28" s="480"/>
      <c r="K28" s="480"/>
      <c r="L28" s="480"/>
      <c r="M28" s="480"/>
      <c r="N28" s="480"/>
      <c r="O28" s="480"/>
      <c r="P28" s="480"/>
      <c r="Q28" s="480"/>
      <c r="R28" s="480"/>
      <c r="S28" s="484"/>
    </row>
    <row r="29" spans="1:19" s="230" customFormat="1" ht="14">
      <c r="A29" s="471" t="s">
        <v>759</v>
      </c>
      <c r="B29" s="352"/>
      <c r="C29" s="352"/>
      <c r="D29" s="352" t="s">
        <v>951</v>
      </c>
      <c r="E29" s="473" t="s">
        <v>1197</v>
      </c>
      <c r="F29" s="349" t="str">
        <f>IF(OR(TBL_001_ProjectInfo[[#This Row],[Type]]="Heading", TBL_001_ProjectInfo[[#This Row],[Required?]]="No"), "", IF(TBL_001_ProjectInfo[[#This Row],[Response]]&lt;&gt;"", "", "Add"))</f>
        <v/>
      </c>
      <c r="G29" s="473"/>
      <c r="H29" s="473"/>
      <c r="I29" s="508"/>
      <c r="J29" s="480"/>
      <c r="K29" s="480"/>
      <c r="L29" s="480"/>
      <c r="M29" s="480"/>
      <c r="N29" s="480"/>
      <c r="O29" s="480"/>
      <c r="P29" s="480"/>
      <c r="Q29" s="480"/>
      <c r="R29" s="480"/>
      <c r="S29" s="484"/>
    </row>
    <row r="30" spans="1:19" s="230" customFormat="1" ht="14">
      <c r="A30" s="352" t="s">
        <v>144</v>
      </c>
      <c r="B30" s="352"/>
      <c r="C30" s="352"/>
      <c r="D30" s="352" t="s">
        <v>951</v>
      </c>
      <c r="E30" s="473" t="s">
        <v>24</v>
      </c>
      <c r="F30" s="349" t="str">
        <f>IF(OR(TBL_001_ProjectInfo[[#This Row],[Type]]="Heading", TBL_001_ProjectInfo[[#This Row],[Required?]]="No"), "", IF(TBL_001_ProjectInfo[[#This Row],[Response]]&lt;&gt;"", "", "Add"))</f>
        <v>Add</v>
      </c>
      <c r="G30" s="473" t="s">
        <v>100</v>
      </c>
      <c r="H30" s="473"/>
      <c r="I30" s="508"/>
      <c r="J30" s="480"/>
      <c r="K30" s="480"/>
      <c r="L30" s="480"/>
      <c r="M30" s="480"/>
      <c r="N30" s="480"/>
      <c r="O30" s="480"/>
      <c r="P30" s="480"/>
      <c r="Q30" s="480"/>
      <c r="R30" s="480"/>
      <c r="S30" s="484"/>
    </row>
    <row r="31" spans="1:19" s="230" customFormat="1" ht="14">
      <c r="A31" s="352" t="s">
        <v>17</v>
      </c>
      <c r="B31" s="352"/>
      <c r="C31" s="352"/>
      <c r="D31" s="352" t="s">
        <v>951</v>
      </c>
      <c r="E31" s="473" t="s">
        <v>24</v>
      </c>
      <c r="F31" s="349" t="str">
        <f>IF(OR(TBL_001_ProjectInfo[[#This Row],[Type]]="Heading", TBL_001_ProjectInfo[[#This Row],[Required?]]="No"), "", IF(TBL_001_ProjectInfo[[#This Row],[Response]]&lt;&gt;"", "", "Add"))</f>
        <v>Add</v>
      </c>
      <c r="G31" s="473" t="s">
        <v>100</v>
      </c>
      <c r="H31" s="473"/>
      <c r="I31" s="508"/>
      <c r="J31" s="480"/>
      <c r="K31" s="480"/>
      <c r="L31" s="480"/>
      <c r="M31" s="480"/>
      <c r="N31" s="480"/>
      <c r="O31" s="480"/>
      <c r="P31" s="480"/>
      <c r="Q31" s="480"/>
      <c r="R31" s="480"/>
      <c r="S31" s="484"/>
    </row>
    <row r="32" spans="1:19" s="230" customFormat="1" ht="14">
      <c r="A32" s="352" t="s">
        <v>176</v>
      </c>
      <c r="B32" s="352"/>
      <c r="C32" s="352"/>
      <c r="D32" s="352" t="s">
        <v>762</v>
      </c>
      <c r="E32" s="473" t="s">
        <v>1197</v>
      </c>
      <c r="F32" s="349" t="str">
        <f>IF(OR(TBL_001_ProjectInfo[[#This Row],[Type]]="Heading", TBL_001_ProjectInfo[[#This Row],[Required?]]="No"), "", IF(TBL_001_ProjectInfo[[#This Row],[Response]]&lt;&gt;"", "", "Add"))</f>
        <v/>
      </c>
      <c r="G32" s="473"/>
      <c r="H32" s="473"/>
      <c r="I32" s="508"/>
      <c r="J32" s="480"/>
      <c r="K32" s="480"/>
      <c r="L32" s="480"/>
      <c r="M32" s="480"/>
      <c r="N32" s="480"/>
      <c r="O32" s="480"/>
      <c r="P32" s="480"/>
      <c r="Q32" s="480"/>
      <c r="R32" s="480"/>
      <c r="S32" s="484"/>
    </row>
    <row r="33" spans="1:19" s="230" customFormat="1" ht="14">
      <c r="A33" s="352" t="s">
        <v>74</v>
      </c>
      <c r="B33" s="352"/>
      <c r="C33" s="352"/>
      <c r="D33" s="352" t="s">
        <v>762</v>
      </c>
      <c r="E33" s="473" t="s">
        <v>24</v>
      </c>
      <c r="F33" s="349" t="str">
        <f>IF(OR(TBL_001_ProjectInfo[[#This Row],[Type]]="Heading", TBL_001_ProjectInfo[[#This Row],[Required?]]="No"), "", IF(TBL_001_ProjectInfo[[#This Row],[Response]]&lt;&gt;"", "", "Add"))</f>
        <v/>
      </c>
      <c r="G33" s="349" t="s">
        <v>100</v>
      </c>
      <c r="H33" s="473"/>
      <c r="I33" s="508"/>
      <c r="J33" s="480"/>
      <c r="K33" s="480"/>
      <c r="L33" s="480"/>
      <c r="M33" s="480"/>
      <c r="N33" s="480"/>
      <c r="O33" s="480"/>
      <c r="P33" s="480"/>
      <c r="Q33" s="480"/>
      <c r="R33" s="480"/>
      <c r="S33" s="484"/>
    </row>
    <row r="34" spans="1:19" s="230" customFormat="1" ht="14">
      <c r="A34" s="352" t="s">
        <v>177</v>
      </c>
      <c r="B34" s="352"/>
      <c r="C34" s="352"/>
      <c r="D34" s="352" t="s">
        <v>762</v>
      </c>
      <c r="E34" s="473" t="s">
        <v>24</v>
      </c>
      <c r="F34" s="349" t="str">
        <f>IF(OR(TBL_001_ProjectInfo[[#This Row],[Type]]="Heading", TBL_001_ProjectInfo[[#This Row],[Required?]]="No"), "", IF(TBL_001_ProjectInfo[[#This Row],[Response]]&lt;&gt;"", "", "Add"))</f>
        <v/>
      </c>
      <c r="G34" s="349" t="s">
        <v>100</v>
      </c>
      <c r="H34" s="473"/>
      <c r="I34" s="508"/>
      <c r="J34" s="480"/>
      <c r="K34" s="480"/>
      <c r="L34" s="480"/>
      <c r="M34" s="480"/>
      <c r="N34" s="480"/>
      <c r="O34" s="480"/>
      <c r="P34" s="480"/>
      <c r="Q34" s="480"/>
      <c r="R34" s="480"/>
      <c r="S34" s="484"/>
    </row>
    <row r="35" spans="1:19" s="230" customFormat="1" ht="14">
      <c r="A35" s="352" t="s">
        <v>1011</v>
      </c>
      <c r="B35" s="352"/>
      <c r="C35" s="352"/>
      <c r="D35" s="352" t="s">
        <v>762</v>
      </c>
      <c r="E35" s="473" t="s">
        <v>24</v>
      </c>
      <c r="F35" s="349" t="str">
        <f>IF(OR(TBL_001_ProjectInfo[[#This Row],[Type]]="Heading", TBL_001_ProjectInfo[[#This Row],[Required?]]="No"), "", IF(TBL_001_ProjectInfo[[#This Row],[Response]]&lt;&gt;"", "", "Add"))</f>
        <v/>
      </c>
      <c r="G35" s="349" t="s">
        <v>100</v>
      </c>
      <c r="H35" s="473"/>
      <c r="I35" s="508"/>
      <c r="J35" s="480"/>
      <c r="K35" s="480"/>
      <c r="L35" s="480"/>
      <c r="M35" s="480"/>
      <c r="N35" s="480"/>
      <c r="O35" s="480"/>
      <c r="P35" s="480"/>
      <c r="Q35" s="480"/>
      <c r="R35" s="480"/>
      <c r="S35" s="484"/>
    </row>
    <row r="36" spans="1:19" s="230" customFormat="1" ht="14">
      <c r="A36" s="352" t="s">
        <v>1012</v>
      </c>
      <c r="B36" s="352"/>
      <c r="C36" s="352"/>
      <c r="D36" s="352" t="s">
        <v>762</v>
      </c>
      <c r="E36" s="473" t="s">
        <v>24</v>
      </c>
      <c r="F36" s="349" t="str">
        <f>IF(OR(TBL_001_ProjectInfo[[#This Row],[Type]]="Heading", TBL_001_ProjectInfo[[#This Row],[Required?]]="No"), "", IF(TBL_001_ProjectInfo[[#This Row],[Response]]&lt;&gt;"", "", "Add"))</f>
        <v/>
      </c>
      <c r="G36" s="349" t="s">
        <v>100</v>
      </c>
      <c r="H36" s="473"/>
      <c r="I36" s="508"/>
      <c r="J36" s="480"/>
      <c r="K36" s="480"/>
      <c r="L36" s="480"/>
      <c r="M36" s="480"/>
      <c r="N36" s="480"/>
      <c r="O36" s="480"/>
      <c r="P36" s="480"/>
      <c r="Q36" s="480"/>
      <c r="R36" s="480"/>
      <c r="S36" s="484"/>
    </row>
    <row r="37" spans="1:19" s="230" customFormat="1" ht="14">
      <c r="A37" s="352" t="s">
        <v>1013</v>
      </c>
      <c r="B37" s="352"/>
      <c r="C37" s="352"/>
      <c r="D37" s="352" t="s">
        <v>762</v>
      </c>
      <c r="E37" s="473" t="s">
        <v>24</v>
      </c>
      <c r="F37" s="349" t="str">
        <f>IF(OR(TBL_001_ProjectInfo[[#This Row],[Type]]="Heading", TBL_001_ProjectInfo[[#This Row],[Required?]]="No"), "", IF(TBL_001_ProjectInfo[[#This Row],[Response]]&lt;&gt;"", "", "Add"))</f>
        <v/>
      </c>
      <c r="G37" s="349" t="s">
        <v>100</v>
      </c>
      <c r="H37" s="473"/>
      <c r="I37" s="508"/>
      <c r="J37" s="480"/>
      <c r="K37" s="480"/>
      <c r="L37" s="480"/>
      <c r="M37" s="480"/>
      <c r="N37" s="480"/>
      <c r="O37" s="480"/>
      <c r="P37" s="480"/>
      <c r="Q37" s="480"/>
      <c r="R37" s="480"/>
      <c r="S37" s="484"/>
    </row>
    <row r="38" spans="1:19" s="230" customFormat="1" ht="14">
      <c r="A38" s="352" t="s">
        <v>1014</v>
      </c>
      <c r="B38" s="352"/>
      <c r="C38" s="352"/>
      <c r="D38" s="352" t="s">
        <v>762</v>
      </c>
      <c r="E38" s="473" t="s">
        <v>24</v>
      </c>
      <c r="F38" s="349" t="str">
        <f>IF(OR(TBL_001_ProjectInfo[[#This Row],[Type]]="Heading", TBL_001_ProjectInfo[[#This Row],[Required?]]="No"), "", IF(TBL_001_ProjectInfo[[#This Row],[Response]]&lt;&gt;"", "", "Add"))</f>
        <v/>
      </c>
      <c r="G38" s="349" t="s">
        <v>100</v>
      </c>
      <c r="H38" s="473"/>
      <c r="I38" s="508"/>
      <c r="J38" s="480"/>
      <c r="K38" s="480"/>
      <c r="L38" s="480"/>
      <c r="M38" s="480"/>
      <c r="N38" s="480"/>
      <c r="O38" s="480"/>
      <c r="P38" s="480"/>
      <c r="Q38" s="480"/>
      <c r="R38" s="480"/>
      <c r="S38" s="484"/>
    </row>
    <row r="39" spans="1:19" s="230" customFormat="1" ht="14">
      <c r="A39" s="352" t="s">
        <v>1015</v>
      </c>
      <c r="B39" s="352"/>
      <c r="C39" s="352"/>
      <c r="D39" s="352" t="s">
        <v>762</v>
      </c>
      <c r="E39" s="473" t="s">
        <v>24</v>
      </c>
      <c r="F39" s="349" t="str">
        <f>IF(OR(TBL_001_ProjectInfo[[#This Row],[Type]]="Heading", TBL_001_ProjectInfo[[#This Row],[Required?]]="No"), "", IF(TBL_001_ProjectInfo[[#This Row],[Response]]&lt;&gt;"", "", "Add"))</f>
        <v/>
      </c>
      <c r="G39" s="349" t="s">
        <v>100</v>
      </c>
      <c r="H39" s="473"/>
      <c r="I39" s="508"/>
      <c r="J39" s="480"/>
      <c r="K39" s="480"/>
      <c r="L39" s="480"/>
      <c r="M39" s="480"/>
      <c r="N39" s="480"/>
      <c r="O39" s="480"/>
      <c r="P39" s="480"/>
      <c r="Q39" s="480"/>
      <c r="R39" s="480"/>
      <c r="S39" s="484"/>
    </row>
    <row r="40" spans="1:19" s="230" customFormat="1" ht="14">
      <c r="A40" s="352" t="s">
        <v>146</v>
      </c>
      <c r="B40" s="352"/>
      <c r="C40" s="352"/>
      <c r="D40" s="352" t="s">
        <v>762</v>
      </c>
      <c r="E40" s="473" t="s">
        <v>24</v>
      </c>
      <c r="F40" s="349" t="str">
        <f>IF(OR(TBL_001_ProjectInfo[[#This Row],[Type]]="Heading", TBL_001_ProjectInfo[[#This Row],[Required?]]="No"), "", IF(TBL_001_ProjectInfo[[#This Row],[Response]]&lt;&gt;"", "", "Add"))</f>
        <v/>
      </c>
      <c r="G40" s="349" t="s">
        <v>100</v>
      </c>
      <c r="H40" s="473"/>
      <c r="I40" s="508"/>
      <c r="J40" s="480"/>
      <c r="K40" s="480"/>
      <c r="L40" s="480"/>
      <c r="M40" s="480"/>
      <c r="N40" s="480"/>
      <c r="O40" s="480"/>
      <c r="P40" s="480"/>
      <c r="Q40" s="480"/>
      <c r="R40" s="480"/>
      <c r="S40" s="484"/>
    </row>
    <row r="41" spans="1:19" s="230" customFormat="1" ht="14">
      <c r="A41" s="352" t="s">
        <v>1</v>
      </c>
      <c r="B41" s="352"/>
      <c r="C41" s="352"/>
      <c r="D41" s="352" t="s">
        <v>762</v>
      </c>
      <c r="E41" s="473" t="s">
        <v>24</v>
      </c>
      <c r="F41" s="349" t="str">
        <f>IF(OR(TBL_001_ProjectInfo[[#This Row],[Type]]="Heading", TBL_001_ProjectInfo[[#This Row],[Required?]]="No"), "", IF(TBL_001_ProjectInfo[[#This Row],[Response]]&lt;&gt;"", "", "Add"))</f>
        <v/>
      </c>
      <c r="G41" s="349" t="s">
        <v>100</v>
      </c>
      <c r="H41" s="473"/>
      <c r="I41" s="508"/>
      <c r="J41" s="480"/>
      <c r="K41" s="480"/>
      <c r="L41" s="480"/>
      <c r="M41" s="480"/>
      <c r="N41" s="480"/>
      <c r="O41" s="480"/>
      <c r="P41" s="480"/>
      <c r="Q41" s="480"/>
      <c r="R41" s="480"/>
      <c r="S41" s="484"/>
    </row>
    <row r="42" spans="1:19" s="230" customFormat="1" ht="14">
      <c r="A42" s="352" t="s">
        <v>168</v>
      </c>
      <c r="B42" s="352"/>
      <c r="C42" s="352"/>
      <c r="D42" s="352" t="s">
        <v>762</v>
      </c>
      <c r="E42" s="473" t="s">
        <v>24</v>
      </c>
      <c r="F42" s="349" t="str">
        <f>IF(OR(TBL_001_ProjectInfo[[#This Row],[Type]]="Heading", TBL_001_ProjectInfo[[#This Row],[Required?]]="No"), "", IF(TBL_001_ProjectInfo[[#This Row],[Response]]&lt;&gt;"", "", "Add"))</f>
        <v/>
      </c>
      <c r="G42" s="349" t="s">
        <v>100</v>
      </c>
      <c r="H42" s="473"/>
      <c r="I42" s="508"/>
      <c r="J42" s="480"/>
      <c r="K42" s="480"/>
      <c r="L42" s="480"/>
      <c r="M42" s="480"/>
      <c r="N42" s="480"/>
      <c r="O42" s="480"/>
      <c r="P42" s="480"/>
      <c r="Q42" s="480"/>
      <c r="R42" s="480"/>
      <c r="S42" s="484"/>
    </row>
    <row r="43" spans="1:19" s="230" customFormat="1" ht="14">
      <c r="A43" s="352" t="s">
        <v>3</v>
      </c>
      <c r="B43" s="352"/>
      <c r="C43" s="352"/>
      <c r="D43" s="352" t="s">
        <v>762</v>
      </c>
      <c r="E43" s="473" t="s">
        <v>24</v>
      </c>
      <c r="F43" s="349" t="str">
        <f>IF(OR(TBL_001_ProjectInfo[[#This Row],[Type]]="Heading", TBL_001_ProjectInfo[[#This Row],[Required?]]="No"), "", IF(TBL_001_ProjectInfo[[#This Row],[Response]]&lt;&gt;"", "", "Add"))</f>
        <v/>
      </c>
      <c r="G43" s="349" t="s">
        <v>100</v>
      </c>
      <c r="H43" s="473"/>
      <c r="I43" s="508"/>
      <c r="J43" s="480"/>
      <c r="K43" s="480"/>
      <c r="L43" s="480"/>
      <c r="M43" s="480"/>
      <c r="N43" s="480"/>
      <c r="O43" s="480"/>
      <c r="P43" s="480"/>
      <c r="Q43" s="480"/>
      <c r="R43" s="480"/>
      <c r="S43" s="484"/>
    </row>
    <row r="44" spans="1:19" s="230" customFormat="1" ht="14">
      <c r="A44" s="352" t="s">
        <v>4</v>
      </c>
      <c r="B44" s="352"/>
      <c r="C44" s="352"/>
      <c r="D44" s="352" t="s">
        <v>762</v>
      </c>
      <c r="E44" s="473" t="s">
        <v>24</v>
      </c>
      <c r="F44" s="349" t="str">
        <f>IF(OR(TBL_001_ProjectInfo[[#This Row],[Type]]="Heading", TBL_001_ProjectInfo[[#This Row],[Required?]]="No"), "", IF(TBL_001_ProjectInfo[[#This Row],[Response]]&lt;&gt;"", "", "Add"))</f>
        <v/>
      </c>
      <c r="G44" s="349" t="s">
        <v>100</v>
      </c>
      <c r="H44" s="473"/>
      <c r="I44" s="508"/>
      <c r="J44" s="480"/>
      <c r="K44" s="480"/>
      <c r="L44" s="480"/>
      <c r="M44" s="480"/>
      <c r="N44" s="480"/>
      <c r="O44" s="480"/>
      <c r="P44" s="480"/>
      <c r="Q44" s="480"/>
      <c r="R44" s="480"/>
      <c r="S44" s="484"/>
    </row>
    <row r="45" spans="1:19" s="230" customFormat="1" ht="14">
      <c r="A45" s="352" t="s">
        <v>164</v>
      </c>
      <c r="B45" s="352"/>
      <c r="C45" s="352"/>
      <c r="D45" s="352" t="s">
        <v>762</v>
      </c>
      <c r="E45" s="473" t="s">
        <v>24</v>
      </c>
      <c r="F45" s="349" t="str">
        <f>IF(OR(TBL_001_ProjectInfo[[#This Row],[Type]]="Heading", TBL_001_ProjectInfo[[#This Row],[Required?]]="No"), "", IF(TBL_001_ProjectInfo[[#This Row],[Response]]&lt;&gt;"", "", "Add"))</f>
        <v/>
      </c>
      <c r="G45" s="349" t="s">
        <v>100</v>
      </c>
      <c r="H45" s="473"/>
      <c r="I45" s="508"/>
      <c r="J45" s="480"/>
      <c r="K45" s="480"/>
      <c r="L45" s="480"/>
      <c r="M45" s="480"/>
      <c r="N45" s="480"/>
      <c r="O45" s="480"/>
      <c r="P45" s="480"/>
      <c r="Q45" s="480"/>
      <c r="R45" s="480"/>
      <c r="S45" s="484"/>
    </row>
    <row r="46" spans="1:19" s="230" customFormat="1" ht="14">
      <c r="A46" s="352" t="s">
        <v>170</v>
      </c>
      <c r="B46" s="352"/>
      <c r="C46" s="352"/>
      <c r="D46" s="352" t="s">
        <v>762</v>
      </c>
      <c r="E46" s="473" t="s">
        <v>24</v>
      </c>
      <c r="F46" s="349" t="str">
        <f>IF(OR(TBL_001_ProjectInfo[[#This Row],[Type]]="Heading", TBL_001_ProjectInfo[[#This Row],[Required?]]="No"), "", IF(TBL_001_ProjectInfo[[#This Row],[Response]]&lt;&gt;"", "", "Add"))</f>
        <v/>
      </c>
      <c r="G46" s="349" t="s">
        <v>100</v>
      </c>
      <c r="H46" s="473"/>
      <c r="I46" s="508"/>
      <c r="J46" s="480"/>
      <c r="K46" s="480"/>
      <c r="L46" s="480"/>
      <c r="M46" s="480"/>
      <c r="N46" s="480"/>
      <c r="O46" s="480"/>
      <c r="P46" s="480"/>
      <c r="Q46" s="480"/>
      <c r="R46" s="480"/>
      <c r="S46" s="484"/>
    </row>
    <row r="47" spans="1:19" s="230" customFormat="1" ht="14">
      <c r="A47" s="352" t="s">
        <v>169</v>
      </c>
      <c r="B47" s="352"/>
      <c r="C47" s="352"/>
      <c r="D47" s="352" t="s">
        <v>762</v>
      </c>
      <c r="E47" s="473" t="s">
        <v>24</v>
      </c>
      <c r="F47" s="349" t="str">
        <f>IF(OR(TBL_001_ProjectInfo[[#This Row],[Type]]="Heading", TBL_001_ProjectInfo[[#This Row],[Required?]]="No"), "", IF(TBL_001_ProjectInfo[[#This Row],[Response]]&lt;&gt;"", "", "Add"))</f>
        <v/>
      </c>
      <c r="G47" s="349" t="s">
        <v>100</v>
      </c>
      <c r="H47" s="473"/>
      <c r="I47" s="508"/>
      <c r="J47" s="480"/>
      <c r="K47" s="480"/>
      <c r="L47" s="480"/>
      <c r="M47" s="480"/>
      <c r="N47" s="480"/>
      <c r="O47" s="480"/>
      <c r="P47" s="480"/>
      <c r="Q47" s="480"/>
      <c r="R47" s="480"/>
      <c r="S47" s="484"/>
    </row>
    <row r="48" spans="1:19" s="230" customFormat="1" ht="14">
      <c r="A48" s="352" t="s">
        <v>151</v>
      </c>
      <c r="B48" s="352"/>
      <c r="C48" s="352"/>
      <c r="D48" s="352" t="s">
        <v>951</v>
      </c>
      <c r="E48" s="473" t="s">
        <v>1197</v>
      </c>
      <c r="F48" s="349" t="str">
        <f>IF(OR(TBL_001_ProjectInfo[[#This Row],[Type]]="Heading", TBL_001_ProjectInfo[[#This Row],[Required?]]="No"), "", IF(TBL_001_ProjectInfo[[#This Row],[Response]]&lt;&gt;"", "", "Add"))</f>
        <v/>
      </c>
      <c r="G48" s="473"/>
      <c r="H48" s="473"/>
      <c r="I48" s="508"/>
      <c r="J48" s="480"/>
      <c r="K48" s="480"/>
      <c r="L48" s="480"/>
      <c r="M48" s="480"/>
      <c r="N48" s="480"/>
      <c r="O48" s="480"/>
      <c r="P48" s="480"/>
      <c r="Q48" s="480"/>
      <c r="R48" s="480"/>
      <c r="S48" s="484"/>
    </row>
    <row r="49" spans="1:19" s="230" customFormat="1" ht="14">
      <c r="A49" s="352" t="s">
        <v>146</v>
      </c>
      <c r="B49" s="352"/>
      <c r="C49" s="352" t="str">
        <f>IF($B$49="Other (please provide info)", "NOTE: info will need to be provided in the documents", "")</f>
        <v/>
      </c>
      <c r="D49" s="352" t="s">
        <v>951</v>
      </c>
      <c r="E49" s="473" t="s">
        <v>24</v>
      </c>
      <c r="F49" s="349" t="str">
        <f>IF(OR(TBL_001_ProjectInfo[[#This Row],[Type]]="Heading", TBL_001_ProjectInfo[[#This Row],[Required?]]="No"), "", IF(TBL_001_ProjectInfo[[#This Row],[Response]]&lt;&gt;"", "", "Add"))</f>
        <v>Add</v>
      </c>
      <c r="G49" s="473" t="str">
        <f>IF(TBL_001_ProjectInfo[[#This Row],[Comments]]&lt;&gt;"", "Note", "Shade")</f>
        <v>Shade</v>
      </c>
      <c r="H49" s="473"/>
      <c r="I49" s="508"/>
      <c r="J49" s="480"/>
      <c r="K49" s="480"/>
      <c r="L49" s="480"/>
      <c r="M49" s="480"/>
      <c r="N49" s="480"/>
      <c r="O49" s="480"/>
      <c r="P49" s="480"/>
      <c r="Q49" s="480"/>
      <c r="R49" s="480"/>
      <c r="S49" s="484"/>
    </row>
    <row r="50" spans="1:19" s="230" customFormat="1" ht="14">
      <c r="A50" s="352" t="s">
        <v>1</v>
      </c>
      <c r="B50" s="352"/>
      <c r="C50" s="352"/>
      <c r="D50" s="352" t="str">
        <f>IF($B$49="Other (please provide info)", "No", "Yes")</f>
        <v>Yes</v>
      </c>
      <c r="E50" s="473" t="s">
        <v>24</v>
      </c>
      <c r="F50" s="349" t="str">
        <f>IF(OR(TBL_001_ProjectInfo[[#This Row],[Type]]="Heading", TBL_001_ProjectInfo[[#This Row],[Required?]]="No"), "", IF(TBL_001_ProjectInfo[[#This Row],[Response]]&lt;&gt;"", "", "Add"))</f>
        <v>Add</v>
      </c>
      <c r="G50" s="473" t="s">
        <v>100</v>
      </c>
      <c r="H50" s="473"/>
      <c r="I50" s="508"/>
      <c r="J50" s="480"/>
      <c r="K50" s="480"/>
      <c r="L50" s="480"/>
      <c r="M50" s="480"/>
      <c r="N50" s="480"/>
      <c r="O50" s="480"/>
      <c r="P50" s="480"/>
      <c r="Q50" s="480"/>
      <c r="R50" s="480"/>
      <c r="S50" s="484"/>
    </row>
    <row r="51" spans="1:19" s="230" customFormat="1" ht="14">
      <c r="A51" s="352" t="s">
        <v>186</v>
      </c>
      <c r="B51" s="352" t="str">
        <f>IF(OR($B$50=TPC, $B$50=PPC), "Service Provider", IF(OR($B$50=TAC, $B$50=FAC), "Provider", IF($B$14="Services", "consultant", "contractor")))</f>
        <v>consultant</v>
      </c>
      <c r="C51" s="352" t="str">
        <f>IF($B$31=1, TBL_001_ProjectInfo[[#This Row],[Response]], CONCATENATE(TBL_001_ProjectInfo[[#This Row],[Response]], "(s)"))</f>
        <v>consultant(s)</v>
      </c>
      <c r="D51" s="352" t="s">
        <v>951</v>
      </c>
      <c r="E51" s="473" t="s">
        <v>24</v>
      </c>
      <c r="F51" s="349" t="str">
        <f>IF(OR(TBL_001_ProjectInfo[[#This Row],[Type]]="Heading", TBL_001_ProjectInfo[[#This Row],[Required?]]="No"), "", IF(TBL_001_ProjectInfo[[#This Row],[Response]]&lt;&gt;"", "", "Add"))</f>
        <v/>
      </c>
      <c r="G51" s="473" t="s">
        <v>100</v>
      </c>
      <c r="H51" s="473"/>
      <c r="I51" s="508"/>
      <c r="J51" s="480"/>
      <c r="K51" s="480"/>
      <c r="L51" s="480"/>
      <c r="M51" s="480"/>
      <c r="N51" s="480"/>
      <c r="O51" s="480"/>
      <c r="P51" s="480"/>
      <c r="Q51" s="480"/>
      <c r="R51" s="480"/>
      <c r="S51" s="484"/>
    </row>
    <row r="52" spans="1:19" s="230" customFormat="1" ht="14">
      <c r="A52" s="352" t="s">
        <v>1001</v>
      </c>
      <c r="B52" s="352" t="str">
        <f>IF(OR($B$50=TPC, $B$50=PPC),"Client Representative", IF(OR($B$50=FAC, $B$50=TAC),"Alliance Manager","Contract Administrator"))</f>
        <v>Contract Administrator</v>
      </c>
      <c r="C52" s="352" t="str">
        <f>CONCATENATE(LEFT(TBL_001_ProjectInfo[[#This Row],[Response]], 1), LEFT(SUBSTITUTE(TBL_001_ProjectInfo[[#This Row],[Response]], LEFT(TBL_001_ProjectInfo[[#This Row],[Response]],FIND(" ",TBL_001_ProjectInfo[[#This Row],[Response]],1)), ""), 1))</f>
        <v>CA</v>
      </c>
      <c r="D52" s="352" t="s">
        <v>951</v>
      </c>
      <c r="E52" s="473" t="s">
        <v>24</v>
      </c>
      <c r="F52" s="349" t="str">
        <f>IF(OR(TBL_001_ProjectInfo[[#This Row],[Type]]="Heading", TBL_001_ProjectInfo[[#This Row],[Required?]]="No"), "", IF(TBL_001_ProjectInfo[[#This Row],[Response]]&lt;&gt;"", "", "Add"))</f>
        <v/>
      </c>
      <c r="G52" s="473" t="s">
        <v>100</v>
      </c>
      <c r="H52" s="473"/>
      <c r="I52" s="508"/>
      <c r="J52" s="480"/>
      <c r="K52" s="480"/>
      <c r="L52" s="480"/>
      <c r="M52" s="480"/>
      <c r="N52" s="480"/>
      <c r="O52" s="480"/>
      <c r="P52" s="480"/>
      <c r="Q52" s="480"/>
      <c r="R52" s="480"/>
      <c r="S52" s="484"/>
    </row>
    <row r="53" spans="1:19" s="230" customFormat="1" ht="14">
      <c r="A53" s="352" t="s">
        <v>168</v>
      </c>
      <c r="B53" s="352"/>
      <c r="C53" s="352"/>
      <c r="D53" s="352" t="s">
        <v>951</v>
      </c>
      <c r="E53" s="473" t="s">
        <v>24</v>
      </c>
      <c r="F53" s="349" t="str">
        <f>IF(OR(TBL_001_ProjectInfo[[#This Row],[Type]]="Heading", TBL_001_ProjectInfo[[#This Row],[Required?]]="No"), "", IF(TBL_001_ProjectInfo[[#This Row],[Response]]&lt;&gt;"", "", "Add"))</f>
        <v>Add</v>
      </c>
      <c r="G53" s="473" t="s">
        <v>100</v>
      </c>
      <c r="H53" s="473"/>
      <c r="I53" s="508"/>
      <c r="J53" s="480"/>
      <c r="K53" s="480"/>
      <c r="L53" s="480"/>
      <c r="M53" s="480"/>
      <c r="N53" s="480"/>
      <c r="O53" s="480"/>
      <c r="P53" s="480"/>
      <c r="Q53" s="480"/>
      <c r="R53" s="480"/>
      <c r="S53" s="484"/>
    </row>
    <row r="54" spans="1:19" s="230" customFormat="1" ht="14">
      <c r="A54" s="352" t="s">
        <v>3</v>
      </c>
      <c r="B54" s="352"/>
      <c r="C54" s="352"/>
      <c r="D54" s="352" t="s">
        <v>951</v>
      </c>
      <c r="E54" s="473" t="s">
        <v>24</v>
      </c>
      <c r="F54" s="349" t="str">
        <f>IF(OR(TBL_001_ProjectInfo[[#This Row],[Type]]="Heading", TBL_001_ProjectInfo[[#This Row],[Required?]]="No"), "", IF(TBL_001_ProjectInfo[[#This Row],[Response]]&lt;&gt;"", "", "Add"))</f>
        <v>Add</v>
      </c>
      <c r="G54" s="473" t="s">
        <v>100</v>
      </c>
      <c r="H54" s="473"/>
      <c r="I54" s="508"/>
      <c r="J54" s="480"/>
      <c r="K54" s="480"/>
      <c r="L54" s="480"/>
      <c r="M54" s="480"/>
      <c r="N54" s="480"/>
      <c r="O54" s="480"/>
      <c r="P54" s="480"/>
      <c r="Q54" s="480"/>
      <c r="R54" s="480"/>
      <c r="S54" s="484"/>
    </row>
    <row r="55" spans="1:19" s="230" customFormat="1" ht="14">
      <c r="A55" s="352" t="s">
        <v>4</v>
      </c>
      <c r="B55" s="352"/>
      <c r="C55" s="352"/>
      <c r="D55" s="352" t="s">
        <v>951</v>
      </c>
      <c r="E55" s="473" t="s">
        <v>24</v>
      </c>
      <c r="F55" s="349" t="str">
        <f>IF(OR(TBL_001_ProjectInfo[[#This Row],[Type]]="Heading", TBL_001_ProjectInfo[[#This Row],[Required?]]="No"), "", IF(TBL_001_ProjectInfo[[#This Row],[Response]]&lt;&gt;"", "", "Add"))</f>
        <v>Add</v>
      </c>
      <c r="G55" s="473" t="s">
        <v>100</v>
      </c>
      <c r="H55" s="473"/>
      <c r="I55" s="508"/>
      <c r="J55" s="480"/>
      <c r="K55" s="480"/>
      <c r="L55" s="480"/>
      <c r="M55" s="480"/>
      <c r="N55" s="480"/>
      <c r="O55" s="480"/>
      <c r="P55" s="480"/>
      <c r="Q55" s="480"/>
      <c r="R55" s="480"/>
      <c r="S55" s="484"/>
    </row>
    <row r="56" spans="1:19" s="230" customFormat="1" ht="14">
      <c r="A56" s="352" t="s">
        <v>5</v>
      </c>
      <c r="B56" s="352"/>
      <c r="C56" s="352" t="str">
        <f>IF(B56="No - please provide further info", "NOTE: info will need to be provided in the documents", "")</f>
        <v/>
      </c>
      <c r="D56" s="352" t="s">
        <v>951</v>
      </c>
      <c r="E56" s="473" t="s">
        <v>24</v>
      </c>
      <c r="F56" s="349" t="str">
        <f>IF(OR(TBL_001_ProjectInfo[[#This Row],[Type]]="Heading", TBL_001_ProjectInfo[[#This Row],[Required?]]="No"), "", IF(TBL_001_ProjectInfo[[#This Row],[Response]]&lt;&gt;"", "", "Add"))</f>
        <v>Add</v>
      </c>
      <c r="G56" s="473" t="str">
        <f>IF(TBL_001_ProjectInfo[[#This Row],[Comments]]&lt;&gt;"", "Note", "Shade")</f>
        <v>Shade</v>
      </c>
      <c r="H56" s="473"/>
      <c r="I56" s="508"/>
      <c r="J56" s="480"/>
      <c r="K56" s="480"/>
      <c r="L56" s="480"/>
      <c r="M56" s="480"/>
      <c r="N56" s="480"/>
      <c r="O56" s="480"/>
      <c r="P56" s="480"/>
      <c r="Q56" s="480"/>
      <c r="R56" s="480"/>
      <c r="S56" s="484"/>
    </row>
    <row r="57" spans="1:19" s="230" customFormat="1" ht="14">
      <c r="A57" s="352" t="s">
        <v>152</v>
      </c>
      <c r="B57" s="352"/>
      <c r="C57" s="352"/>
      <c r="D57" s="352" t="s">
        <v>951</v>
      </c>
      <c r="E57" s="473" t="s">
        <v>24</v>
      </c>
      <c r="F57" s="349" t="str">
        <f>IF(OR(TBL_001_ProjectInfo[[#This Row],[Type]]="Heading", TBL_001_ProjectInfo[[#This Row],[Required?]]="No"), "", IF(TBL_001_ProjectInfo[[#This Row],[Response]]&lt;&gt;"", "", "Add"))</f>
        <v>Add</v>
      </c>
      <c r="G57" s="473" t="s">
        <v>100</v>
      </c>
      <c r="H57" s="473"/>
      <c r="I57" s="508"/>
      <c r="J57" s="480"/>
      <c r="K57" s="480"/>
      <c r="L57" s="480"/>
      <c r="M57" s="480"/>
      <c r="N57" s="480"/>
      <c r="O57" s="480"/>
      <c r="P57" s="480"/>
      <c r="Q57" s="480"/>
      <c r="R57" s="480"/>
      <c r="S57" s="484"/>
    </row>
    <row r="58" spans="1:19" s="230" customFormat="1" ht="14">
      <c r="A58" s="352" t="s">
        <v>153</v>
      </c>
      <c r="B58" s="352" t="str">
        <f>IF($B$57="Yes", "Please select the type", "N/A")</f>
        <v>N/A</v>
      </c>
      <c r="C58" s="352"/>
      <c r="D58" s="352" t="str">
        <f>IF($B$57="No", "No", "Yes")</f>
        <v>Yes</v>
      </c>
      <c r="E58" s="473" t="s">
        <v>24</v>
      </c>
      <c r="F58" s="349" t="str">
        <f>IF(OR(TBL_001_ProjectInfo[[#This Row],[Type]]="Heading", TBL_001_ProjectInfo[[#This Row],[Required?]]="No"), "", IF(TBL_001_ProjectInfo[[#This Row],[Response]]&lt;&gt;"", "", "Add"))</f>
        <v/>
      </c>
      <c r="G58" s="473" t="str">
        <f>IF(TBL_001_ProjectInfo[[#This Row],[Response]]="Other", IF(TBL_001_ProjectInfo[[#This Row],[Comments]]&lt;&gt;"", "", "Add"), "Shade")</f>
        <v>Shade</v>
      </c>
      <c r="H58" s="473"/>
      <c r="I58" s="508"/>
      <c r="J58" s="480"/>
      <c r="K58" s="480"/>
      <c r="L58" s="480"/>
      <c r="M58" s="480"/>
      <c r="N58" s="480"/>
      <c r="O58" s="480"/>
      <c r="P58" s="480"/>
      <c r="Q58" s="480"/>
      <c r="R58" s="480"/>
      <c r="S58" s="484"/>
    </row>
    <row r="59" spans="1:19" s="230" customFormat="1" ht="14">
      <c r="A59" s="352" t="s">
        <v>1095</v>
      </c>
      <c r="B59" s="352"/>
      <c r="C59" s="352" t="str">
        <f>IF(ESP="No", "Please remove Part 10", "")</f>
        <v/>
      </c>
      <c r="D59" s="352" t="s">
        <v>951</v>
      </c>
      <c r="E59" s="473" t="s">
        <v>24</v>
      </c>
      <c r="F59" s="349" t="str">
        <f>IF(OR(TBL_001_ProjectInfo[[#This Row],[Type]]="Heading", TBL_001_ProjectInfo[[#This Row],[Required?]]="No"), "", IF(TBL_001_ProjectInfo[[#This Row],[Response]]&lt;&gt;"", "", "Add"))</f>
        <v>Add</v>
      </c>
      <c r="G59" s="473" t="str">
        <f>IF(TBL_001_ProjectInfo[[#This Row],[Comments]]&lt;&gt;"", "Note", "Shade")</f>
        <v>Shade</v>
      </c>
      <c r="H59" s="473"/>
      <c r="I59" s="508"/>
      <c r="J59" s="480"/>
      <c r="K59" s="480"/>
      <c r="L59" s="480"/>
      <c r="M59" s="480"/>
      <c r="N59" s="480"/>
      <c r="O59" s="480"/>
      <c r="P59" s="480"/>
      <c r="Q59" s="480"/>
      <c r="R59" s="480"/>
      <c r="S59" s="484"/>
    </row>
    <row r="60" spans="1:19" s="230" customFormat="1" ht="14">
      <c r="A60" s="352" t="s">
        <v>154</v>
      </c>
      <c r="B60" s="352"/>
      <c r="C60" s="352" t="str">
        <f>IF(OR(B61="No", TBL_001_ProjectInfo[[#This Row],[Response]]="No"), "Please remove Part 11", "")</f>
        <v/>
      </c>
      <c r="D60" s="352" t="s">
        <v>951</v>
      </c>
      <c r="E60" s="473" t="s">
        <v>24</v>
      </c>
      <c r="F60" s="349" t="str">
        <f>IF(OR(TBL_001_ProjectInfo[[#This Row],[Type]]="Heading", TBL_001_ProjectInfo[[#This Row],[Required?]]="No"), "", IF(TBL_001_ProjectInfo[[#This Row],[Response]]&lt;&gt;"", "", "Add"))</f>
        <v>Add</v>
      </c>
      <c r="G60" s="473" t="str">
        <f>IF(TBL_001_ProjectInfo[[#This Row],[Comments]]&lt;&gt;"","Note","Shade")</f>
        <v>Shade</v>
      </c>
      <c r="H60" s="473"/>
      <c r="I60" s="508"/>
      <c r="J60" s="480"/>
      <c r="K60" s="480"/>
      <c r="L60" s="480"/>
      <c r="M60" s="480"/>
      <c r="N60" s="480"/>
      <c r="O60" s="480"/>
      <c r="P60" s="480"/>
      <c r="Q60" s="480"/>
      <c r="R60" s="480"/>
      <c r="S60" s="484"/>
    </row>
    <row r="61" spans="1:19" s="230" customFormat="1" ht="14">
      <c r="A61" s="352" t="s">
        <v>155</v>
      </c>
      <c r="B61" s="352" t="str">
        <f>IF($B$60&lt;&gt;"", IF($B$60="Yes", "", "N/A"), "")</f>
        <v/>
      </c>
      <c r="C61" s="352"/>
      <c r="D61" s="352" t="str">
        <f>IF($B$60="No", "No", "Yes")</f>
        <v>Yes</v>
      </c>
      <c r="E61" s="473" t="s">
        <v>24</v>
      </c>
      <c r="F61" s="349" t="str">
        <f>IF(OR(TBL_001_ProjectInfo[[#This Row],[Type]]="Heading", TBL_001_ProjectInfo[[#This Row],[Required?]]="No"), "", IF(TBL_001_ProjectInfo[[#This Row],[Response]]&lt;&gt;"", "", "Add"))</f>
        <v>Add</v>
      </c>
      <c r="G61" s="349" t="s">
        <v>100</v>
      </c>
      <c r="H61" s="473"/>
      <c r="I61" s="508"/>
      <c r="J61" s="480"/>
      <c r="K61" s="480"/>
      <c r="L61" s="480"/>
      <c r="M61" s="480"/>
      <c r="N61" s="480"/>
      <c r="O61" s="480"/>
      <c r="P61" s="480"/>
      <c r="Q61" s="480"/>
      <c r="R61" s="480"/>
      <c r="S61" s="484"/>
    </row>
    <row r="62" spans="1:19" s="230" customFormat="1" ht="14">
      <c r="A62" s="352" t="s">
        <v>150</v>
      </c>
      <c r="B62" s="352"/>
      <c r="C62" s="352"/>
      <c r="D62" s="352" t="s">
        <v>951</v>
      </c>
      <c r="E62" s="473" t="s">
        <v>1197</v>
      </c>
      <c r="F62" s="349" t="str">
        <f>IF(OR(TBL_001_ProjectInfo[[#This Row],[Type]]="Heading", TBL_001_ProjectInfo[[#This Row],[Required?]]="No"), "", IF(TBL_001_ProjectInfo[[#This Row],[Response]]&lt;&gt;"", "", "Add"))</f>
        <v/>
      </c>
      <c r="G62" s="473"/>
      <c r="H62" s="473"/>
      <c r="I62" s="508"/>
      <c r="J62" s="480"/>
      <c r="K62" s="480"/>
      <c r="L62" s="480"/>
      <c r="M62" s="480"/>
      <c r="N62" s="480"/>
      <c r="O62" s="480"/>
      <c r="P62" s="480"/>
      <c r="Q62" s="480"/>
      <c r="R62" s="480"/>
      <c r="S62" s="484"/>
    </row>
    <row r="63" spans="1:19" s="230" customFormat="1" ht="14">
      <c r="A63" s="352" t="s">
        <v>1164</v>
      </c>
      <c r="B63" s="419" t="s">
        <v>1165</v>
      </c>
      <c r="C63" s="352"/>
      <c r="D63" s="352" t="s">
        <v>951</v>
      </c>
      <c r="E63" s="473" t="s">
        <v>24</v>
      </c>
      <c r="F63" s="349" t="str">
        <f>IF(OR(TBL_001_ProjectInfo[[#This Row],[Type]]="Heading", TBL_001_ProjectInfo[[#This Row],[Required?]]="No"), "", IF(TBL_001_ProjectInfo[[#This Row],[Response]]&lt;&gt;"", "", "Add"))</f>
        <v/>
      </c>
      <c r="G63" s="473" t="s">
        <v>100</v>
      </c>
      <c r="H63" s="349"/>
      <c r="I63" s="508"/>
      <c r="J63" s="480"/>
      <c r="K63" s="480"/>
      <c r="L63" s="480"/>
      <c r="M63" s="480"/>
      <c r="N63" s="480"/>
      <c r="O63" s="480"/>
      <c r="P63" s="480"/>
      <c r="Q63" s="480"/>
      <c r="R63" s="480"/>
      <c r="S63" s="484"/>
    </row>
    <row r="64" spans="1:19" s="230" customFormat="1" ht="14">
      <c r="A64" s="352" t="str">
        <f>CONCATENATE("Total number of ", IF($B$63&lt;&gt;"", $B$63, "properties")," owned")</f>
        <v>Total number of properties owned</v>
      </c>
      <c r="B64" s="419">
        <v>2200</v>
      </c>
      <c r="C64" s="352"/>
      <c r="D64" s="352" t="s">
        <v>951</v>
      </c>
      <c r="E64" s="473" t="s">
        <v>24</v>
      </c>
      <c r="F64" s="349" t="str">
        <f>IF(OR(TBL_001_ProjectInfo[[#This Row],[Type]]="Heading", TBL_001_ProjectInfo[[#This Row],[Required?]]="No"), "", IF(TBL_001_ProjectInfo[[#This Row],[Response]]&lt;&gt;"", "", "Add"))</f>
        <v/>
      </c>
      <c r="G64" s="473" t="s">
        <v>100</v>
      </c>
      <c r="H64" s="349"/>
      <c r="I64" s="508"/>
      <c r="J64" s="480"/>
      <c r="K64" s="480"/>
      <c r="L64" s="480"/>
      <c r="M64" s="480"/>
      <c r="N64" s="480"/>
      <c r="O64" s="480"/>
      <c r="P64" s="480"/>
      <c r="Q64" s="480"/>
      <c r="R64" s="480"/>
      <c r="S64" s="484"/>
    </row>
    <row r="65" spans="1:19" s="230" customFormat="1" ht="14">
      <c r="A65" s="352" t="s">
        <v>147</v>
      </c>
      <c r="B65" s="352" t="s">
        <v>1244</v>
      </c>
      <c r="C65" s="352"/>
      <c r="D65" s="352" t="s">
        <v>951</v>
      </c>
      <c r="E65" s="473" t="s">
        <v>24</v>
      </c>
      <c r="F65" s="349" t="str">
        <f>IF(OR(TBL_001_ProjectInfo[[#This Row],[Type]]="Heading", TBL_001_ProjectInfo[[#This Row],[Required?]]="No"), "", IF(TBL_001_ProjectInfo[[#This Row],[Response]]&lt;&gt;"", "", "Add"))</f>
        <v/>
      </c>
      <c r="G65" s="473" t="s">
        <v>100</v>
      </c>
      <c r="H65" s="349"/>
      <c r="I65" s="508"/>
      <c r="J65" s="480"/>
      <c r="K65" s="480"/>
      <c r="L65" s="480"/>
      <c r="M65" s="480"/>
      <c r="N65" s="480"/>
      <c r="O65" s="480"/>
      <c r="P65" s="480"/>
      <c r="Q65" s="480"/>
      <c r="R65" s="480"/>
      <c r="S65" s="484"/>
    </row>
    <row r="66" spans="1:19" s="230" customFormat="1" ht="14">
      <c r="A66" s="352" t="s">
        <v>148</v>
      </c>
      <c r="B66" s="352" t="s">
        <v>762</v>
      </c>
      <c r="C66" s="352"/>
      <c r="D66" s="352" t="s">
        <v>951</v>
      </c>
      <c r="E66" s="473" t="s">
        <v>24</v>
      </c>
      <c r="F66" s="349" t="str">
        <f>IF(OR(TBL_001_ProjectInfo[[#This Row],[Type]]="Heading", TBL_001_ProjectInfo[[#This Row],[Required?]]="No"), "", IF(TBL_001_ProjectInfo[[#This Row],[Response]]&lt;&gt;"", "", "Add"))</f>
        <v/>
      </c>
      <c r="G66" s="473" t="s">
        <v>100</v>
      </c>
      <c r="H66" s="349"/>
      <c r="I66" s="508"/>
      <c r="J66" s="480"/>
      <c r="K66" s="480"/>
      <c r="L66" s="480"/>
      <c r="M66" s="480"/>
      <c r="N66" s="480"/>
      <c r="O66" s="480"/>
      <c r="P66" s="480"/>
      <c r="Q66" s="480"/>
      <c r="R66" s="480"/>
      <c r="S66" s="484"/>
    </row>
    <row r="67" spans="1:19" s="230" customFormat="1" ht="14">
      <c r="A67" s="352" t="s">
        <v>1173</v>
      </c>
      <c r="B67" s="352"/>
      <c r="C67" s="352"/>
      <c r="D67" s="352" t="s">
        <v>951</v>
      </c>
      <c r="E67" s="473" t="s">
        <v>1197</v>
      </c>
      <c r="F67" s="349" t="str">
        <f>IF(OR(TBL_001_ProjectInfo[[#This Row],[Type]]="Heading", TBL_001_ProjectInfo[[#This Row],[Required?]]="No"), "", IF(TBL_001_ProjectInfo[[#This Row],[Response]]&lt;&gt;"", "", "Add"))</f>
        <v/>
      </c>
      <c r="G67" s="473"/>
      <c r="H67" s="349"/>
      <c r="I67" s="508"/>
      <c r="J67" s="480"/>
      <c r="K67" s="480"/>
      <c r="L67" s="480"/>
      <c r="M67" s="480"/>
      <c r="N67" s="480"/>
      <c r="O67" s="480"/>
      <c r="P67" s="480"/>
      <c r="Q67" s="480"/>
      <c r="R67" s="480"/>
      <c r="S67" s="484"/>
    </row>
    <row r="68" spans="1:19" s="230" customFormat="1" ht="14">
      <c r="A68" s="352" t="s">
        <v>22</v>
      </c>
      <c r="B68" s="350">
        <v>10000000</v>
      </c>
      <c r="C68" s="352"/>
      <c r="D68" s="352" t="s">
        <v>951</v>
      </c>
      <c r="E68" s="473" t="s">
        <v>24</v>
      </c>
      <c r="F68" s="349" t="str">
        <f>IF(OR(TBL_001_ProjectInfo[[#This Row],[Type]]="Heading", TBL_001_ProjectInfo[[#This Row],[Required?]]="No"), "", IF(TBL_001_ProjectInfo[[#This Row],[Response]]&lt;&gt;"", "", "Add"))</f>
        <v/>
      </c>
      <c r="G68" s="473" t="s">
        <v>100</v>
      </c>
      <c r="H68" s="349"/>
      <c r="I68" s="508"/>
      <c r="J68" s="480"/>
      <c r="K68" s="480"/>
      <c r="L68" s="480"/>
      <c r="M68" s="480"/>
      <c r="N68" s="480"/>
      <c r="O68" s="480"/>
      <c r="P68" s="480"/>
      <c r="Q68" s="480"/>
      <c r="R68" s="480"/>
      <c r="S68" s="484"/>
    </row>
    <row r="69" spans="1:19" s="230" customFormat="1" ht="14">
      <c r="A69" s="352" t="s">
        <v>1097</v>
      </c>
      <c r="B69" s="350">
        <v>10000000</v>
      </c>
      <c r="C69" s="352"/>
      <c r="D69" s="352" t="s">
        <v>951</v>
      </c>
      <c r="E69" s="473" t="s">
        <v>24</v>
      </c>
      <c r="F69" s="349" t="str">
        <f>IF(OR(TBL_001_ProjectInfo[[#This Row],[Type]]="Heading", TBL_001_ProjectInfo[[#This Row],[Required?]]="No"), "", IF(TBL_001_ProjectInfo[[#This Row],[Response]]&lt;&gt;"", "", "Add"))</f>
        <v/>
      </c>
      <c r="G69" s="473" t="s">
        <v>100</v>
      </c>
      <c r="H69" s="349"/>
      <c r="I69" s="508"/>
      <c r="J69" s="480"/>
      <c r="K69" s="480"/>
      <c r="L69" s="480"/>
      <c r="M69" s="480"/>
      <c r="N69" s="480"/>
      <c r="O69" s="480"/>
      <c r="P69" s="480"/>
      <c r="Q69" s="480"/>
      <c r="R69" s="480"/>
      <c r="S69" s="484"/>
    </row>
    <row r="70" spans="1:19" s="230" customFormat="1" ht="14">
      <c r="A70" s="352" t="s">
        <v>23</v>
      </c>
      <c r="B70" s="350">
        <v>200000</v>
      </c>
      <c r="C70" s="352" t="str">
        <f>IF(AND(TBL_001_ProjectInfo[[#This Row],[Response]]&lt;&gt;"", TBL_001_ProjectInfo[[#This Row],[Response]]=0), "Note: Update Part 1_Core 2 and add reason why it's not required", "")</f>
        <v/>
      </c>
      <c r="D70" s="352" t="s">
        <v>951</v>
      </c>
      <c r="E70" s="473" t="s">
        <v>24</v>
      </c>
      <c r="F70" s="349" t="str">
        <f>IF(OR(TBL_001_ProjectInfo[[#This Row],[Type]]="Heading", TBL_001_ProjectInfo[[#This Row],[Required?]]="No"), "", IF(TBL_001_ProjectInfo[[#This Row],[Response]]&lt;&gt;"", "", "Add"))</f>
        <v/>
      </c>
      <c r="G70" s="473" t="str">
        <f>IF(TBL_001_ProjectInfo[[#This Row],[Comments]]&lt;&gt;"", "Note", "Shade")</f>
        <v>Shade</v>
      </c>
      <c r="H70" s="349"/>
      <c r="I70" s="508"/>
      <c r="J70" s="480"/>
      <c r="K70" s="480"/>
      <c r="L70" s="480"/>
      <c r="M70" s="480"/>
      <c r="N70" s="480"/>
      <c r="O70" s="480"/>
      <c r="P70" s="480"/>
      <c r="Q70" s="480"/>
      <c r="R70" s="480"/>
      <c r="S70" s="484"/>
    </row>
    <row r="71" spans="1:19" s="230" customFormat="1" ht="28">
      <c r="A71" s="352" t="s">
        <v>1096</v>
      </c>
      <c r="B71" s="350">
        <v>0</v>
      </c>
      <c r="C71" s="352" t="str">
        <f>IF(AND(TBL_001_ProjectInfo[[#This Row],[Response]]&lt;&gt;"", TBL_001_ProjectInfo[[#This Row],[Response]]=0), "Note: Update Part 1_Core 2 and add reason why it's not required", "")</f>
        <v>Note: Update Part 1_Core 2 and add reason why it's not required</v>
      </c>
      <c r="D71" s="352" t="s">
        <v>951</v>
      </c>
      <c r="E71" s="473" t="s">
        <v>24</v>
      </c>
      <c r="F71" s="349" t="str">
        <f>IF(OR(TBL_001_ProjectInfo[[#This Row],[Type]]="Heading", TBL_001_ProjectInfo[[#This Row],[Required?]]="No"), "", IF(TBL_001_ProjectInfo[[#This Row],[Response]]&lt;&gt;"", "", "Add"))</f>
        <v/>
      </c>
      <c r="G71" s="473" t="str">
        <f>IF(TBL_001_ProjectInfo[[#This Row],[Comments]]&lt;&gt;"", "Note", "Shade")</f>
        <v>Note</v>
      </c>
      <c r="H71" s="349"/>
      <c r="I71" s="508"/>
      <c r="J71" s="480"/>
      <c r="K71" s="480"/>
      <c r="L71" s="480"/>
      <c r="M71" s="480"/>
      <c r="N71" s="480"/>
      <c r="O71" s="480"/>
      <c r="P71" s="480"/>
      <c r="Q71" s="480"/>
      <c r="R71" s="480"/>
      <c r="S71" s="484"/>
    </row>
    <row r="72" spans="1:19" s="230" customFormat="1" ht="14">
      <c r="A72" s="352" t="s">
        <v>1100</v>
      </c>
      <c r="B72" s="350" t="s">
        <v>1245</v>
      </c>
      <c r="C72" s="352"/>
      <c r="D72" s="352" t="s">
        <v>951</v>
      </c>
      <c r="E72" s="473" t="s">
        <v>24</v>
      </c>
      <c r="F72" s="349" t="str">
        <f>IF(OR(TBL_001_ProjectInfo[[#This Row],[Type]]="Heading", TBL_001_ProjectInfo[[#This Row],[Required?]]="No"), "", IF(TBL_001_ProjectInfo[[#This Row],[Response]]&lt;&gt;"", "", "Add"))</f>
        <v/>
      </c>
      <c r="G72" s="473" t="s">
        <v>100</v>
      </c>
      <c r="H72" s="349"/>
      <c r="I72" s="508"/>
      <c r="J72" s="480"/>
      <c r="K72" s="480"/>
      <c r="L72" s="480"/>
      <c r="M72" s="480"/>
      <c r="N72" s="480"/>
      <c r="O72" s="480"/>
      <c r="P72" s="480"/>
      <c r="Q72" s="480"/>
      <c r="R72" s="480"/>
      <c r="S72" s="484"/>
    </row>
    <row r="73" spans="1:19" s="230" customFormat="1" ht="14">
      <c r="A73" s="352" t="s">
        <v>875</v>
      </c>
      <c r="B73" s="352"/>
      <c r="C73" s="352"/>
      <c r="D73" s="352" t="s">
        <v>951</v>
      </c>
      <c r="E73" s="473" t="s">
        <v>1197</v>
      </c>
      <c r="F73" s="349" t="str">
        <f>IF(OR(TBL_001_ProjectInfo[[#This Row],[Type]]="Heading", TBL_001_ProjectInfo[[#This Row],[Required?]]="No"), "", IF(TBL_001_ProjectInfo[[#This Row],[Response]]&lt;&gt;"", "", "Add"))</f>
        <v/>
      </c>
      <c r="G73" s="473"/>
      <c r="H73" s="473"/>
      <c r="I73" s="508"/>
      <c r="J73" s="480"/>
      <c r="K73" s="480"/>
      <c r="L73" s="480"/>
      <c r="M73" s="480"/>
      <c r="N73" s="480"/>
      <c r="O73" s="480"/>
      <c r="P73" s="480"/>
      <c r="Q73" s="480"/>
      <c r="R73" s="480"/>
      <c r="S73" s="484"/>
    </row>
    <row r="74" spans="1:19" s="230" customFormat="1" ht="14">
      <c r="A74" s="352" t="s">
        <v>873</v>
      </c>
      <c r="B74" s="350" t="s">
        <v>762</v>
      </c>
      <c r="C74" s="352" t="str">
        <f>IF(Fin_Check="Yes", "NOTE: The evaluation methodology will need to be added to Doc 1", "")</f>
        <v/>
      </c>
      <c r="D74" s="352" t="s">
        <v>951</v>
      </c>
      <c r="E74" s="473" t="s">
        <v>24</v>
      </c>
      <c r="F74" s="349" t="str">
        <f>IF(OR(TBL_001_ProjectInfo[[#This Row],[Type]]="Heading", TBL_001_ProjectInfo[[#This Row],[Required?]]="No"), "", IF(TBL_001_ProjectInfo[[#This Row],[Response]]&lt;&gt;"", "", "Add"))</f>
        <v/>
      </c>
      <c r="G74" s="473" t="str">
        <f>IF(TBL_001_ProjectInfo[[#This Row],[Comments]]&lt;&gt;"", "Note", "Shade")</f>
        <v>Shade</v>
      </c>
      <c r="H74" s="473"/>
      <c r="I74" s="508"/>
      <c r="J74" s="480"/>
      <c r="K74" s="480"/>
      <c r="L74" s="480"/>
      <c r="M74" s="480"/>
      <c r="N74" s="480"/>
      <c r="O74" s="480"/>
      <c r="P74" s="480"/>
      <c r="Q74" s="480"/>
      <c r="R74" s="480"/>
      <c r="S74" s="484"/>
    </row>
    <row r="75" spans="1:19" s="230" customFormat="1" ht="14">
      <c r="A75" s="352" t="s">
        <v>1206</v>
      </c>
      <c r="B75" s="350"/>
      <c r="C75" s="352"/>
      <c r="D75" s="352" t="str">
        <f>IF(AND($B$17="SQ", Fin_Check="Yes"), "Yes", "No")</f>
        <v>No</v>
      </c>
      <c r="E75" s="473" t="s">
        <v>24</v>
      </c>
      <c r="F75" s="349" t="str">
        <f>IF(OR(TBL_001_ProjectInfo[[#This Row],[Type]]="Heading", TBL_001_ProjectInfo[[#This Row],[Required?]]="No"), "", IF(TBL_001_ProjectInfo[[#This Row],[Response]]&lt;&gt;"", "", "Add"))</f>
        <v/>
      </c>
      <c r="G75" s="473" t="s">
        <v>100</v>
      </c>
      <c r="H75" s="473"/>
      <c r="I75" s="508"/>
      <c r="J75" s="480"/>
      <c r="K75" s="480"/>
      <c r="L75" s="480"/>
      <c r="M75" s="480"/>
      <c r="N75" s="480"/>
      <c r="O75" s="480"/>
      <c r="P75" s="480"/>
      <c r="Q75" s="480"/>
      <c r="R75" s="480"/>
      <c r="S75" s="484"/>
    </row>
    <row r="76" spans="1:19" s="230" customFormat="1" ht="14">
      <c r="A76" s="352" t="s">
        <v>1204</v>
      </c>
      <c r="B76" s="352"/>
      <c r="C76" s="352"/>
      <c r="D76" s="352" t="str">
        <f>IF($B$17="SQ", "Yes", "No")</f>
        <v>Yes</v>
      </c>
      <c r="E76" s="473" t="s">
        <v>1197</v>
      </c>
      <c r="F76" s="349" t="str">
        <f>IF(OR(TBL_001_ProjectInfo[[#This Row],[Type]]="Heading", TBL_001_ProjectInfo[[#This Row],[Required?]]="No"), "", IF(TBL_001_ProjectInfo[[#This Row],[Response]]&lt;&gt;"", "", "Add"))</f>
        <v/>
      </c>
      <c r="G76" s="473"/>
      <c r="H76" s="473"/>
      <c r="I76" s="508"/>
      <c r="J76" s="480"/>
      <c r="K76" s="480"/>
      <c r="L76" s="480"/>
      <c r="M76" s="480"/>
      <c r="N76" s="480"/>
      <c r="O76" s="480"/>
      <c r="P76" s="480"/>
      <c r="Q76" s="480"/>
      <c r="R76" s="480"/>
      <c r="S76" s="484"/>
    </row>
    <row r="77" spans="1:19" s="230" customFormat="1" ht="14">
      <c r="A77" s="352" t="s">
        <v>1207</v>
      </c>
      <c r="B77" s="352" t="s">
        <v>762</v>
      </c>
      <c r="C77" s="352"/>
      <c r="D77" s="352" t="str">
        <f>IF($B$17="SQ", "Yes", "No")</f>
        <v>Yes</v>
      </c>
      <c r="E77" s="473" t="s">
        <v>24</v>
      </c>
      <c r="F77" s="473" t="str">
        <f>IF(OR(TBL_001_ProjectInfo[[#This Row],[Type]]="Heading", TBL_001_ProjectInfo[[#This Row],[Required?]]="No"), "", IF(TBL_001_ProjectInfo[[#This Row],[Response]]&lt;&gt;"", "", "Add"))</f>
        <v/>
      </c>
      <c r="G77" s="473" t="s">
        <v>100</v>
      </c>
      <c r="H77" s="473"/>
      <c r="I77" s="508"/>
      <c r="J77" s="480"/>
      <c r="K77" s="480"/>
      <c r="L77" s="480"/>
      <c r="M77" s="480"/>
      <c r="N77" s="480"/>
      <c r="O77" s="480"/>
      <c r="P77" s="480"/>
      <c r="Q77" s="480"/>
      <c r="R77" s="480"/>
      <c r="S77" s="484"/>
    </row>
    <row r="78" spans="1:19" s="230" customFormat="1" ht="28">
      <c r="A78" s="352" t="str">
        <f>CONCATENATE(B13," for ICT, Facilities management or business processing outsourcing?")</f>
        <v>contract for ICT, Facilities management or business processing outsourcing?</v>
      </c>
      <c r="B78" s="352"/>
      <c r="C78" s="352"/>
      <c r="D78" s="352" t="str">
        <f>IF(AND($B$17="SQ", $B$77="Yes", OR(B14="services", B14="supplies")), "Yes", "No")</f>
        <v>No</v>
      </c>
      <c r="E78" s="473" t="s">
        <v>24</v>
      </c>
      <c r="F78" s="473" t="str">
        <f>IF(OR(TBL_001_ProjectInfo[[#This Row],[Type]]="Heading", TBL_001_ProjectInfo[[#This Row],[Required?]]="No"), "", IF(TBL_001_ProjectInfo[[#This Row],[Response]]&lt;&gt;"", "", "Add"))</f>
        <v/>
      </c>
      <c r="G78" s="473" t="s">
        <v>100</v>
      </c>
      <c r="H78" s="473" t="str">
        <f>IF(AND(TBL_001_ProjectInfo[[#This Row],[Response]]="Yes", OR($B$79=$L$4, $B$79=$L$5)), "Suppliers' Past Performance", "Section not applicable")</f>
        <v>Section not applicable</v>
      </c>
      <c r="I78" s="508"/>
      <c r="J78" s="480"/>
      <c r="K78" s="480"/>
      <c r="L78" s="480"/>
      <c r="M78" s="480"/>
      <c r="N78" s="480"/>
      <c r="O78" s="480"/>
      <c r="P78" s="480"/>
      <c r="Q78" s="480"/>
      <c r="R78" s="480"/>
      <c r="S78" s="484"/>
    </row>
    <row r="79" spans="1:19" s="230" customFormat="1" ht="28">
      <c r="A79" s="352" t="s">
        <v>1208</v>
      </c>
      <c r="B79" s="352"/>
      <c r="C79" s="352"/>
      <c r="D79" s="352" t="str">
        <f>IF(AND($B$17="SQ", $B$77="Yes"), "Yes", "No")</f>
        <v>No</v>
      </c>
      <c r="E79" s="473" t="s">
        <v>24</v>
      </c>
      <c r="F79" s="473" t="str">
        <f>IF(OR(TBL_001_ProjectInfo[[#This Row],[Type]]="Heading", TBL_001_ProjectInfo[[#This Row],[Required?]]="No"), "", IF(TBL_001_ProjectInfo[[#This Row],[Response]]&lt;&gt;"", "", "Add"))</f>
        <v/>
      </c>
      <c r="G79" s="473" t="s">
        <v>100</v>
      </c>
      <c r="H79" s="473" t="str">
        <f>IF(OR(TBL_001_ProjectInfo[[#This Row],[Response]]=$L$3, TBL_001_ProjectInfo[[#This Row],[Response]]=$L$5), "Skills and Apprentices", "Section not applicable")</f>
        <v>Section not applicable</v>
      </c>
      <c r="I79" s="508"/>
      <c r="J79" s="480"/>
      <c r="K79" s="480"/>
      <c r="L79" s="480"/>
      <c r="M79" s="480"/>
      <c r="N79" s="480"/>
      <c r="O79" s="480"/>
      <c r="P79" s="480"/>
      <c r="Q79" s="480"/>
      <c r="R79" s="480"/>
      <c r="S79" s="484"/>
    </row>
    <row r="80" spans="1:19" s="230" customFormat="1" ht="14">
      <c r="A80" s="352" t="s">
        <v>1209</v>
      </c>
      <c r="B80" s="352"/>
      <c r="C80" s="352"/>
      <c r="D80" s="352" t="str">
        <f>IF($B$17="PAS", "Yes", "No")</f>
        <v>No</v>
      </c>
      <c r="E80" s="473" t="s">
        <v>1197</v>
      </c>
      <c r="F80" s="349" t="str">
        <f>IF(OR(TBL_001_ProjectInfo[[#This Row],[Type]]="Heading", TBL_001_ProjectInfo[[#This Row],[Required?]]="No"), "", IF(TBL_001_ProjectInfo[[#This Row],[Response]]&lt;&gt;"", "", "Add"))</f>
        <v/>
      </c>
      <c r="G80" s="473"/>
      <c r="H80" s="473"/>
      <c r="I80" s="508"/>
      <c r="J80" s="480"/>
      <c r="K80" s="480"/>
      <c r="L80" s="480"/>
      <c r="M80" s="480"/>
      <c r="N80" s="480"/>
      <c r="O80" s="480"/>
      <c r="P80" s="480"/>
      <c r="Q80" s="480"/>
      <c r="R80" s="480"/>
      <c r="S80" s="484"/>
    </row>
    <row r="81" spans="1:19" s="230" customFormat="1" ht="14">
      <c r="A81" s="352" t="s">
        <v>1210</v>
      </c>
      <c r="B81" s="350"/>
      <c r="C81" s="352"/>
      <c r="D81" s="352" t="str">
        <f t="shared" ref="D81:D86" si="0">IF($B$17="PAS", "Yes", "No")</f>
        <v>No</v>
      </c>
      <c r="E81" s="473" t="s">
        <v>24</v>
      </c>
      <c r="F81" s="349" t="str">
        <f>IF(OR(TBL_001_ProjectInfo[[#This Row],[Type]]="Heading", TBL_001_ProjectInfo[[#This Row],[Required?]]="No"), "", IF(TBL_001_ProjectInfo[[#This Row],[Response]]&lt;&gt;"", "", "Add"))</f>
        <v/>
      </c>
      <c r="G81" s="473" t="s">
        <v>100</v>
      </c>
      <c r="H81" s="473"/>
      <c r="I81" s="508"/>
      <c r="J81" s="480"/>
      <c r="K81" s="480"/>
      <c r="L81" s="480"/>
      <c r="M81" s="480"/>
      <c r="N81" s="480"/>
      <c r="O81" s="480"/>
      <c r="P81" s="480"/>
      <c r="Q81" s="480"/>
      <c r="R81" s="480"/>
      <c r="S81" s="484"/>
    </row>
    <row r="82" spans="1:19" s="230" customFormat="1" ht="14">
      <c r="A82" s="352" t="s">
        <v>1211</v>
      </c>
      <c r="B82" s="350"/>
      <c r="C82" s="352"/>
      <c r="D82" s="352" t="str">
        <f>IF(AND($B$17="PAS", $B$81="Yes"), "Yes", "No")</f>
        <v>No</v>
      </c>
      <c r="E82" s="473" t="s">
        <v>24</v>
      </c>
      <c r="F82" s="349" t="str">
        <f>IF(OR(TBL_001_ProjectInfo[[#This Row],[Type]]="Heading", TBL_001_ProjectInfo[[#This Row],[Required?]]="No"), "", IF(TBL_001_ProjectInfo[[#This Row],[Response]]&lt;&gt;"", "", "Add"))</f>
        <v/>
      </c>
      <c r="G82" s="473" t="s">
        <v>100</v>
      </c>
      <c r="H82" s="473"/>
      <c r="I82" s="508"/>
      <c r="J82" s="480"/>
      <c r="K82" s="480"/>
      <c r="L82" s="480"/>
      <c r="M82" s="480"/>
      <c r="N82" s="480"/>
      <c r="O82" s="480"/>
      <c r="P82" s="480"/>
      <c r="Q82" s="480"/>
      <c r="R82" s="480"/>
      <c r="S82" s="484"/>
    </row>
    <row r="83" spans="1:19" s="230" customFormat="1" ht="14">
      <c r="A83" s="352" t="s">
        <v>1212</v>
      </c>
      <c r="B83" s="350"/>
      <c r="C83" s="352"/>
      <c r="D83" s="352" t="str">
        <f t="shared" si="0"/>
        <v>No</v>
      </c>
      <c r="E83" s="473" t="s">
        <v>24</v>
      </c>
      <c r="F83" s="349" t="str">
        <f>IF(OR(TBL_001_ProjectInfo[[#This Row],[Type]]="Heading", TBL_001_ProjectInfo[[#This Row],[Required?]]="No"), "", IF(TBL_001_ProjectInfo[[#This Row],[Response]]&lt;&gt;"", "", "Add"))</f>
        <v/>
      </c>
      <c r="G83" s="473" t="s">
        <v>100</v>
      </c>
      <c r="H83" s="473"/>
      <c r="I83" s="508"/>
      <c r="J83" s="480"/>
      <c r="K83" s="480"/>
      <c r="L83" s="480"/>
      <c r="M83" s="480"/>
      <c r="N83" s="480"/>
      <c r="O83" s="480"/>
      <c r="P83" s="480"/>
      <c r="Q83" s="480"/>
      <c r="R83" s="480"/>
      <c r="S83" s="484"/>
    </row>
    <row r="84" spans="1:19" s="230" customFormat="1" ht="14">
      <c r="A84" s="352" t="s">
        <v>1213</v>
      </c>
      <c r="B84" s="350"/>
      <c r="C84" s="352"/>
      <c r="D84" s="352" t="str">
        <f t="shared" si="0"/>
        <v>No</v>
      </c>
      <c r="E84" s="473" t="s">
        <v>24</v>
      </c>
      <c r="F84" s="349" t="str">
        <f>IF(OR(TBL_001_ProjectInfo[[#This Row],[Type]]="Heading", TBL_001_ProjectInfo[[#This Row],[Required?]]="No"), "", IF(TBL_001_ProjectInfo[[#This Row],[Response]]&lt;&gt;"", "", "Add"))</f>
        <v/>
      </c>
      <c r="G84" s="473" t="s">
        <v>100</v>
      </c>
      <c r="H84" s="473"/>
      <c r="I84" s="508"/>
      <c r="J84" s="480"/>
      <c r="K84" s="480"/>
      <c r="L84" s="480"/>
      <c r="M84" s="480"/>
      <c r="N84" s="480"/>
      <c r="O84" s="480"/>
      <c r="P84" s="480"/>
      <c r="Q84" s="480"/>
      <c r="R84" s="480"/>
      <c r="S84" s="484"/>
    </row>
    <row r="85" spans="1:19" s="230" customFormat="1" ht="14">
      <c r="A85" s="352" t="s">
        <v>1214</v>
      </c>
      <c r="B85" s="350"/>
      <c r="C85" s="352"/>
      <c r="D85" s="352" t="str">
        <f t="shared" si="0"/>
        <v>No</v>
      </c>
      <c r="E85" s="473" t="s">
        <v>24</v>
      </c>
      <c r="F85" s="349" t="str">
        <f>IF(OR(TBL_001_ProjectInfo[[#This Row],[Type]]="Heading", TBL_001_ProjectInfo[[#This Row],[Required?]]="No"), "", IF(TBL_001_ProjectInfo[[#This Row],[Response]]&lt;&gt;"", "", "Add"))</f>
        <v/>
      </c>
      <c r="G85" s="473" t="s">
        <v>100</v>
      </c>
      <c r="H85" s="473"/>
      <c r="I85" s="508"/>
      <c r="J85" s="480"/>
      <c r="K85" s="480"/>
      <c r="L85" s="480"/>
      <c r="M85" s="480"/>
      <c r="N85" s="480"/>
      <c r="O85" s="480"/>
      <c r="P85" s="480"/>
      <c r="Q85" s="480"/>
      <c r="R85" s="480"/>
      <c r="S85" s="484"/>
    </row>
    <row r="86" spans="1:19" s="230" customFormat="1" ht="14">
      <c r="A86" s="352" t="s">
        <v>1215</v>
      </c>
      <c r="B86" s="350"/>
      <c r="C86" s="352"/>
      <c r="D86" s="352" t="str">
        <f t="shared" si="0"/>
        <v>No</v>
      </c>
      <c r="E86" s="473" t="s">
        <v>24</v>
      </c>
      <c r="F86" s="349" t="str">
        <f>IF(OR(TBL_001_ProjectInfo[[#This Row],[Type]]="Heading", TBL_001_ProjectInfo[[#This Row],[Required?]]="No"), "", IF(TBL_001_ProjectInfo[[#This Row],[Response]]&lt;&gt;"", "", "Add"))</f>
        <v/>
      </c>
      <c r="G86" s="473" t="s">
        <v>100</v>
      </c>
      <c r="H86" s="473"/>
      <c r="I86" s="508"/>
      <c r="J86" s="480"/>
      <c r="K86" s="480"/>
      <c r="L86" s="480"/>
      <c r="M86" s="480"/>
      <c r="N86" s="480"/>
      <c r="O86" s="480"/>
      <c r="P86" s="480"/>
      <c r="Q86" s="480"/>
      <c r="R86" s="480"/>
      <c r="S86" s="484"/>
    </row>
    <row r="87" spans="1:19" s="230" customFormat="1" ht="14">
      <c r="A87" s="471" t="s">
        <v>1199</v>
      </c>
      <c r="B87" s="352"/>
      <c r="C87" s="352"/>
      <c r="D87" s="352" t="str">
        <f>IF($B$18="Open Procedure", "No", "Yes")</f>
        <v>Yes</v>
      </c>
      <c r="E87" s="473" t="s">
        <v>1197</v>
      </c>
      <c r="F87" s="349" t="str">
        <f>IF(OR(TBL_001_ProjectInfo[[#This Row],[Type]]="Heading", TBL_001_ProjectInfo[[#This Row],[Required?]]="No"), "", IF(TBL_001_ProjectInfo[[#This Row],[Response]]&lt;&gt;"", "", "Add"))</f>
        <v/>
      </c>
      <c r="G87" s="473"/>
      <c r="H87" s="473"/>
      <c r="I87" s="508"/>
      <c r="J87" s="480"/>
      <c r="K87" s="480"/>
      <c r="L87" s="480"/>
      <c r="M87" s="480"/>
      <c r="N87" s="480"/>
      <c r="O87" s="480"/>
      <c r="P87" s="480"/>
      <c r="Q87" s="480"/>
      <c r="R87" s="480"/>
      <c r="S87" s="484"/>
    </row>
    <row r="88" spans="1:19" s="230" customFormat="1" ht="14">
      <c r="A88" s="472" t="s">
        <v>1075</v>
      </c>
      <c r="B88" s="469"/>
      <c r="C88" s="472"/>
      <c r="D88" s="352" t="str">
        <f t="shared" ref="D88:D90" si="1">IF($B$18="Open Procedure", "No", "Yes")</f>
        <v>Yes</v>
      </c>
      <c r="E88" s="473" t="s">
        <v>24</v>
      </c>
      <c r="F88" s="349" t="str">
        <f>IF(OR(TBL_001_ProjectInfo[[#This Row],[Type]]="Heading", TBL_001_ProjectInfo[[#This Row],[Required?]]="No"), "", IF(TBL_001_ProjectInfo[[#This Row],[Response]]&lt;&gt;"", "", "Add"))</f>
        <v>Add</v>
      </c>
      <c r="G88" s="473" t="s">
        <v>100</v>
      </c>
      <c r="H88" s="473"/>
      <c r="I88" s="508"/>
      <c r="J88" s="480"/>
      <c r="K88" s="480"/>
      <c r="L88" s="480"/>
      <c r="M88" s="480"/>
      <c r="N88" s="480"/>
      <c r="O88" s="480"/>
      <c r="P88" s="480"/>
      <c r="Q88" s="480"/>
      <c r="R88" s="480"/>
      <c r="S88" s="484"/>
    </row>
    <row r="89" spans="1:19" s="230" customFormat="1" ht="14">
      <c r="A89" s="472" t="s">
        <v>1076</v>
      </c>
      <c r="B89" s="469"/>
      <c r="C89" s="472"/>
      <c r="D89" s="352" t="str">
        <f t="shared" si="1"/>
        <v>Yes</v>
      </c>
      <c r="E89" s="473" t="s">
        <v>24</v>
      </c>
      <c r="F89" s="349" t="str">
        <f>IF(OR(TBL_001_ProjectInfo[[#This Row],[Type]]="Heading", TBL_001_ProjectInfo[[#This Row],[Required?]]="No"), "", IF(TBL_001_ProjectInfo[[#This Row],[Response]]&lt;&gt;"", "", "Add"))</f>
        <v>Add</v>
      </c>
      <c r="G89" s="473" t="s">
        <v>100</v>
      </c>
      <c r="H89" s="473"/>
      <c r="I89" s="508"/>
      <c r="J89" s="480"/>
      <c r="K89" s="480"/>
      <c r="L89" s="480"/>
      <c r="M89" s="480"/>
      <c r="N89" s="480"/>
      <c r="O89" s="480"/>
      <c r="P89" s="480"/>
      <c r="Q89" s="480"/>
      <c r="R89" s="480"/>
      <c r="S89" s="484"/>
    </row>
    <row r="90" spans="1:19" s="230" customFormat="1" ht="14">
      <c r="A90" s="472" t="s">
        <v>1077</v>
      </c>
      <c r="B90" s="469"/>
      <c r="C90" s="472"/>
      <c r="D90" s="352" t="str">
        <f t="shared" si="1"/>
        <v>Yes</v>
      </c>
      <c r="E90" s="473" t="s">
        <v>24</v>
      </c>
      <c r="F90" s="349" t="str">
        <f>IF(OR(TBL_001_ProjectInfo[[#This Row],[Type]]="Heading", TBL_001_ProjectInfo[[#This Row],[Required?]]="No"), "", IF(TBL_001_ProjectInfo[[#This Row],[Response]]&lt;&gt;"", "", "Add"))</f>
        <v>Add</v>
      </c>
      <c r="G90" s="473" t="s">
        <v>100</v>
      </c>
      <c r="H90" s="473"/>
      <c r="I90" s="508"/>
      <c r="J90" s="480"/>
      <c r="K90" s="480"/>
      <c r="L90" s="480"/>
      <c r="M90" s="480"/>
      <c r="N90" s="480"/>
      <c r="O90" s="480"/>
      <c r="P90" s="480"/>
      <c r="Q90" s="480"/>
      <c r="R90" s="480"/>
      <c r="S90" s="484"/>
    </row>
    <row r="91" spans="1:19" s="230" customFormat="1" ht="14">
      <c r="A91" s="471" t="str">
        <f>IF($B$18="Restricted Procedure",IF(Lotted?="Yes", "Tender - Envisaged number to invite across all lots","Tender - Envisaged number to invite"),IF(Lotted?="Yes","Initial tender - Envisaged number to invite across all lots","Initial tender - Envisaged number to invite"))</f>
        <v>Tender - Envisaged number to invite across all lots</v>
      </c>
      <c r="B91" s="352"/>
      <c r="C91" s="352"/>
      <c r="D91" s="352" t="str">
        <f>IF($B$18="Open Procedure", "No", "Yes")</f>
        <v>Yes</v>
      </c>
      <c r="E91" s="473" t="s">
        <v>1197</v>
      </c>
      <c r="F91" s="349" t="str">
        <f>IF(OR(TBL_001_ProjectInfo[[#This Row],[Type]]="Heading", TBL_001_ProjectInfo[[#This Row],[Required?]]="No"), "", IF(TBL_001_ProjectInfo[[#This Row],[Response]]&lt;&gt;"", "", "Add"))</f>
        <v/>
      </c>
      <c r="G91" s="473"/>
      <c r="H91" s="473"/>
      <c r="I91" s="508"/>
      <c r="J91" s="480"/>
      <c r="K91" s="480"/>
      <c r="L91" s="480"/>
      <c r="M91" s="480"/>
      <c r="N91" s="480"/>
      <c r="O91" s="480"/>
      <c r="P91" s="480"/>
      <c r="Q91" s="480"/>
      <c r="R91" s="480"/>
      <c r="S91" s="484"/>
    </row>
    <row r="92" spans="1:19" s="230" customFormat="1" ht="14">
      <c r="A92" s="352" t="str">
        <f>CONCATENATE("What is the minimum number", IF(Lotted?="No", "?", ", across all lots?"))</f>
        <v>What is the minimum number, across all lots?</v>
      </c>
      <c r="B92" s="352"/>
      <c r="C92" s="352"/>
      <c r="D92" s="352" t="str">
        <f>IF($B$18="Open Procedure", "No", "Yes")</f>
        <v>Yes</v>
      </c>
      <c r="E92" s="473" t="s">
        <v>24</v>
      </c>
      <c r="F92" s="473" t="str">
        <f>IF(OR(TBL_001_ProjectInfo[[#This Row],[Type]]="Heading", TBL_001_ProjectInfo[[#This Row],[Required?]]="No"), "", IF(TBL_001_ProjectInfo[[#This Row],[Response]]&lt;&gt;"", "", "Add"))</f>
        <v>Add</v>
      </c>
      <c r="G92" s="473" t="str">
        <f>IF(TBL_001_ProjectInfo[[#This Row],[Comments]]&lt;&gt;"", "Error!", "Shade")</f>
        <v>Shade</v>
      </c>
      <c r="H92" s="473">
        <f>IF($B$18&lt;&gt;"", IF($B$18="Open Procedure", "N/A", VLOOKUP($B$18, TBL_034_Procedures[], 2, FALSE)), "")</f>
        <v>5</v>
      </c>
      <c r="I92" s="508"/>
      <c r="J92" s="480"/>
      <c r="K92" s="480"/>
      <c r="L92" s="480"/>
      <c r="M92" s="480"/>
      <c r="N92" s="480"/>
      <c r="O92" s="480"/>
      <c r="P92" s="480"/>
      <c r="Q92" s="480"/>
      <c r="R92" s="480"/>
      <c r="S92" s="484"/>
    </row>
    <row r="93" spans="1:19" s="230" customFormat="1" ht="14">
      <c r="A93" s="352" t="str">
        <f>CONCATENATE("What is the maximum number", IF(Lotted?="No", "?", ", across all lots?"))</f>
        <v>What is the maximum number, across all lots?</v>
      </c>
      <c r="B93" s="352"/>
      <c r="C93" s="352" t="str">
        <f>IF(TBL_001_ProjectInfo[[#This Row],[C_Check]]="Error!", "Maximum no. must be greater than or equal to minimum", "")</f>
        <v/>
      </c>
      <c r="D93" s="352" t="str">
        <f>IF($B$18="Open Procedure", "No", "Yes")</f>
        <v>Yes</v>
      </c>
      <c r="E93" s="473" t="s">
        <v>24</v>
      </c>
      <c r="F93" s="473" t="str">
        <f>IF(OR(TBL_001_ProjectInfo[[#This Row],[Type]]="Heading", TBL_001_ProjectInfo[[#This Row],[Required?]]="No"), "", IF(TBL_001_ProjectInfo[[#This Row],[Response]]&lt;&gt;"", "", "Add"))</f>
        <v>Add</v>
      </c>
      <c r="G93" s="473" t="str">
        <f>IF(TBL_001_ProjectInfo[[#This Row],[Response]]&lt;B92, "Error!", "Shade")</f>
        <v>Shade</v>
      </c>
      <c r="H93" s="473"/>
      <c r="I93" s="508"/>
      <c r="J93" s="480"/>
      <c r="K93" s="480"/>
      <c r="L93" s="480"/>
      <c r="M93" s="480"/>
      <c r="N93" s="480"/>
      <c r="O93" s="480"/>
      <c r="P93" s="480"/>
      <c r="Q93" s="480"/>
      <c r="R93" s="480"/>
      <c r="S93" s="484"/>
    </row>
    <row r="94" spans="1:19" s="230" customFormat="1" ht="14">
      <c r="A94" s="471" t="str">
        <f>IF(Lotted?="Yes","Negotiate/Dialogue - Envisaged number to invite across all lots","Negotiate/Dialogue - Envisaged number to invite")</f>
        <v>Negotiate/Dialogue - Envisaged number to invite across all lots</v>
      </c>
      <c r="B94" s="352"/>
      <c r="C94" s="352"/>
      <c r="D94" s="352" t="str">
        <f t="shared" ref="D94:D99" si="2">IF(OR($B$18="Open Procedure", $B$18="Restricted Procedure"),"No", "Yes")</f>
        <v>No</v>
      </c>
      <c r="E94" s="473" t="s">
        <v>1197</v>
      </c>
      <c r="F94" s="349" t="str">
        <f>IF(OR(TBL_001_ProjectInfo[[#This Row],[Type]]="Heading", TBL_001_ProjectInfo[[#This Row],[Required?]]="No"), "", IF(TBL_001_ProjectInfo[[#This Row],[Response]]&lt;&gt;"", "", "Add"))</f>
        <v/>
      </c>
      <c r="G94" s="473"/>
      <c r="H94" s="473"/>
      <c r="I94" s="508"/>
      <c r="J94" s="480"/>
      <c r="K94" s="480"/>
      <c r="L94" s="480"/>
      <c r="M94" s="480"/>
      <c r="N94" s="480"/>
      <c r="O94" s="480"/>
      <c r="P94" s="480"/>
      <c r="Q94" s="480"/>
      <c r="R94" s="480"/>
      <c r="S94" s="484"/>
    </row>
    <row r="95" spans="1:19" s="230" customFormat="1" ht="14">
      <c r="A95" s="352" t="str">
        <f>CONCATENATE("What is the minimum number", IF(Lotted?="No", "?", ", across all lots?"))</f>
        <v>What is the minimum number, across all lots?</v>
      </c>
      <c r="B95" s="352"/>
      <c r="C95" s="352"/>
      <c r="D95" s="352" t="str">
        <f t="shared" si="2"/>
        <v>No</v>
      </c>
      <c r="E95" s="473" t="s">
        <v>24</v>
      </c>
      <c r="F95" s="473" t="str">
        <f>IF(OR(TBL_001_ProjectInfo[[#This Row],[Type]]="Heading", TBL_001_ProjectInfo[[#This Row],[Required?]]="No"), "", IF(TBL_001_ProjectInfo[[#This Row],[Response]]&lt;&gt;"", "", "Add"))</f>
        <v/>
      </c>
      <c r="G95" s="473" t="str">
        <f>IF(TBL_001_ProjectInfo[[#This Row],[Comments]]&lt;&gt;"", "Error!", "Shade")</f>
        <v>Shade</v>
      </c>
      <c r="H95" s="473"/>
      <c r="I95" s="508"/>
      <c r="J95" s="480"/>
      <c r="K95" s="480"/>
      <c r="L95" s="480"/>
      <c r="M95" s="480"/>
      <c r="N95" s="480"/>
      <c r="O95" s="480"/>
      <c r="P95" s="480"/>
      <c r="Q95" s="480"/>
      <c r="R95" s="480"/>
      <c r="S95" s="484"/>
    </row>
    <row r="96" spans="1:19" s="230" customFormat="1" ht="14">
      <c r="A96" s="352" t="str">
        <f>CONCATENATE("What is the maximum number", IF(Lotted?="No", "?", ", across all lots?"))</f>
        <v>What is the maximum number, across all lots?</v>
      </c>
      <c r="B96" s="352"/>
      <c r="C96" s="352" t="str">
        <f>IF(TBL_001_ProjectInfo[[#This Row],[C_Check]]="Error!", "Maximum no. must be greater than or equal to minimum", "")</f>
        <v/>
      </c>
      <c r="D96" s="352" t="str">
        <f t="shared" si="2"/>
        <v>No</v>
      </c>
      <c r="E96" s="473" t="s">
        <v>24</v>
      </c>
      <c r="F96" s="473" t="str">
        <f>IF(OR(TBL_001_ProjectInfo[[#This Row],[Type]]="Heading", TBL_001_ProjectInfo[[#This Row],[Required?]]="No"), "", IF(TBL_001_ProjectInfo[[#This Row],[Response]]&lt;&gt;"", "", "Add"))</f>
        <v/>
      </c>
      <c r="G96" s="473" t="str">
        <f>IF(TBL_001_ProjectInfo[[#This Row],[Response]]&lt;B95, "Error!", "Shade")</f>
        <v>Shade</v>
      </c>
      <c r="H96" s="473"/>
      <c r="I96" s="508"/>
      <c r="J96" s="480"/>
      <c r="K96" s="480"/>
      <c r="L96" s="480"/>
      <c r="M96" s="480"/>
      <c r="N96" s="480"/>
      <c r="O96" s="480"/>
      <c r="P96" s="480"/>
      <c r="Q96" s="480"/>
      <c r="R96" s="480"/>
      <c r="S96" s="484"/>
    </row>
    <row r="97" spans="1:19" s="230" customFormat="1" ht="14">
      <c r="A97" s="471" t="str">
        <f>IF(Lotted?="Yes","Final Tender - Envisaged number to invite across all lots","Final Tender - Envisaged number to invite")</f>
        <v>Final Tender - Envisaged number to invite across all lots</v>
      </c>
      <c r="B97" s="352"/>
      <c r="C97" s="352"/>
      <c r="D97" s="352" t="str">
        <f t="shared" si="2"/>
        <v>No</v>
      </c>
      <c r="E97" s="473" t="s">
        <v>1197</v>
      </c>
      <c r="F97" s="349" t="str">
        <f>IF(OR(TBL_001_ProjectInfo[[#This Row],[Type]]="Heading", TBL_001_ProjectInfo[[#This Row],[Required?]]="No"), "", IF(TBL_001_ProjectInfo[[#This Row],[Response]]&lt;&gt;"", "", "Add"))</f>
        <v/>
      </c>
      <c r="G97" s="473"/>
      <c r="H97" s="473"/>
      <c r="I97" s="508"/>
      <c r="J97" s="480"/>
      <c r="K97" s="480"/>
      <c r="L97" s="480"/>
      <c r="M97" s="480"/>
      <c r="N97" s="480"/>
      <c r="O97" s="480"/>
      <c r="P97" s="480"/>
      <c r="Q97" s="480"/>
      <c r="R97" s="480"/>
      <c r="S97" s="484"/>
    </row>
    <row r="98" spans="1:19" s="230" customFormat="1" ht="14">
      <c r="A98" s="352" t="str">
        <f>CONCATENATE("What is the minimum number", IF(Lotted?="No", "?", ", across all lots?"))</f>
        <v>What is the minimum number, across all lots?</v>
      </c>
      <c r="B98" s="352"/>
      <c r="C98" s="352"/>
      <c r="D98" s="352" t="str">
        <f t="shared" si="2"/>
        <v>No</v>
      </c>
      <c r="E98" s="473" t="s">
        <v>24</v>
      </c>
      <c r="F98" s="473" t="str">
        <f>IF(OR(TBL_001_ProjectInfo[[#This Row],[Type]]="Heading", TBL_001_ProjectInfo[[#This Row],[Required?]]="No"), "", IF(TBL_001_ProjectInfo[[#This Row],[Response]]&lt;&gt;"", "", "Add"))</f>
        <v/>
      </c>
      <c r="G98" s="473" t="str">
        <f>IF(TBL_001_ProjectInfo[[#This Row],[Comments]]&lt;&gt;"", "Error!", "Shade")</f>
        <v>Shade</v>
      </c>
      <c r="H98" s="473"/>
      <c r="I98" s="508"/>
      <c r="J98" s="480"/>
      <c r="K98" s="480"/>
      <c r="L98" s="480"/>
      <c r="M98" s="480"/>
      <c r="N98" s="480"/>
      <c r="O98" s="480"/>
      <c r="P98" s="480"/>
      <c r="Q98" s="480"/>
      <c r="R98" s="480"/>
      <c r="S98" s="484"/>
    </row>
    <row r="99" spans="1:19" s="230" customFormat="1" ht="14">
      <c r="A99" s="352" t="str">
        <f>CONCATENATE("What is the maximum number",IF(Lotted?="No","?",", across all lots?"))</f>
        <v>What is the maximum number, across all lots?</v>
      </c>
      <c r="B99" s="352"/>
      <c r="C99" s="352" t="str">
        <f>IF(TBL_001_ProjectInfo[[#This Row],[C_Check]]="Error!", "Maximum no. must be greater than or equal to minimum", "")</f>
        <v/>
      </c>
      <c r="D99" s="352" t="str">
        <f t="shared" si="2"/>
        <v>No</v>
      </c>
      <c r="E99" s="473" t="s">
        <v>24</v>
      </c>
      <c r="F99" s="473" t="str">
        <f>IF(OR(TBL_001_ProjectInfo[[#This Row],[Type]]="Heading", TBL_001_ProjectInfo[[#This Row],[Required?]]="No"), "", IF(TBL_001_ProjectInfo[[#This Row],[Response]]&lt;&gt;"", "", "Add"))</f>
        <v/>
      </c>
      <c r="G99" s="473" t="str">
        <f>IF(TBL_001_ProjectInfo[[#This Row],[Response]]&lt;B98, "Error!", "Shade")</f>
        <v>Shade</v>
      </c>
      <c r="H99" s="473"/>
      <c r="I99" s="508"/>
      <c r="J99" s="480"/>
      <c r="K99" s="480"/>
      <c r="L99" s="480"/>
      <c r="M99" s="480"/>
      <c r="N99" s="480"/>
      <c r="O99" s="480"/>
      <c r="P99" s="480"/>
      <c r="Q99" s="480"/>
      <c r="R99" s="480"/>
      <c r="S99" s="484"/>
    </row>
    <row r="100" spans="1:19" s="230" customFormat="1" ht="14">
      <c r="A100" s="352" t="s">
        <v>149</v>
      </c>
      <c r="B100" s="352"/>
      <c r="C100" s="352"/>
      <c r="D100" s="352" t="s">
        <v>951</v>
      </c>
      <c r="E100" s="473" t="s">
        <v>1197</v>
      </c>
      <c r="F100" s="349" t="str">
        <f>IF(OR(TBL_001_ProjectInfo[[#This Row],[Type]]="Heading", TBL_001_ProjectInfo[[#This Row],[Required?]]="No"), "", IF(TBL_001_ProjectInfo[[#This Row],[Response]]&lt;&gt;"", "", "Add"))</f>
        <v/>
      </c>
      <c r="G100" s="349"/>
      <c r="H100" s="473"/>
      <c r="I100" s="508"/>
      <c r="J100" s="480"/>
      <c r="K100" s="480"/>
      <c r="L100" s="480"/>
      <c r="M100" s="480"/>
      <c r="N100" s="480"/>
      <c r="O100" s="480"/>
      <c r="P100" s="480"/>
      <c r="Q100" s="480"/>
      <c r="R100" s="480"/>
      <c r="S100" s="484"/>
    </row>
    <row r="101" spans="1:19" s="230" customFormat="1" ht="14">
      <c r="A101" s="352" t="s">
        <v>139</v>
      </c>
      <c r="B101" s="352" t="s">
        <v>1256</v>
      </c>
      <c r="C101" s="352">
        <f>IF(TBL_001_ProjectInfo[[#This Row],[Response]]&lt;&gt;"", IF(TBL_001_ProjectInfo[[#This Row],[Response]]="0 to 5", 5, IF(TBL_001_ProjectInfo[[#This Row],[Response]]="0 to 10", 10, "Error")), "")</f>
        <v>5</v>
      </c>
      <c r="D101" s="352" t="s">
        <v>951</v>
      </c>
      <c r="E101" s="473" t="s">
        <v>24</v>
      </c>
      <c r="F101" s="349" t="str">
        <f>IF(OR(TBL_001_ProjectInfo[[#This Row],[Type]]="Heading", TBL_001_ProjectInfo[[#This Row],[Required?]]="No"), "", IF(TBL_001_ProjectInfo[[#This Row],[Response]]&lt;&gt;"", "", "Add"))</f>
        <v/>
      </c>
      <c r="G101" s="473" t="s">
        <v>100</v>
      </c>
      <c r="H101" s="473"/>
      <c r="I101" s="508"/>
      <c r="J101" s="480"/>
      <c r="K101" s="480"/>
      <c r="L101" s="480"/>
      <c r="M101" s="480"/>
      <c r="N101" s="480"/>
      <c r="O101" s="480"/>
      <c r="P101" s="480"/>
      <c r="Q101" s="480"/>
      <c r="R101" s="480"/>
      <c r="S101" s="484"/>
    </row>
    <row r="102" spans="1:19" s="230" customFormat="1" ht="14">
      <c r="A102" s="352" t="s">
        <v>13</v>
      </c>
      <c r="B102" s="352"/>
      <c r="C102" s="352" t="str">
        <f>IF(AND(Price_split&lt;&gt;"", Tech_split&lt;&gt;""),IF(SUM(Price_split,Tech_split)=100, "", "NOTE:  Tech/Price split does not equal 100!"), "")</f>
        <v/>
      </c>
      <c r="D102" s="352" t="s">
        <v>951</v>
      </c>
      <c r="E102" s="473" t="s">
        <v>24</v>
      </c>
      <c r="F102" s="349" t="str">
        <f>IF(OR(TBL_001_ProjectInfo[[#This Row],[Type]]="Heading", TBL_001_ProjectInfo[[#This Row],[Required?]]="No"), "", IF(TBL_001_ProjectInfo[[#This Row],[Response]]&lt;&gt;"", "", "Add"))</f>
        <v>Add</v>
      </c>
      <c r="G102" s="473" t="str">
        <f>IF(TBL_001_ProjectInfo[[#This Row],[Comments]]&lt;&gt;"", "Error!", "Shade")</f>
        <v>Shade</v>
      </c>
      <c r="H102" s="473"/>
      <c r="I102" s="508"/>
      <c r="J102" s="480"/>
      <c r="K102" s="480"/>
      <c r="L102" s="480"/>
      <c r="M102" s="480"/>
      <c r="N102" s="480"/>
      <c r="O102" s="480"/>
      <c r="P102" s="480"/>
      <c r="Q102" s="480"/>
      <c r="R102" s="480"/>
      <c r="S102" s="484"/>
    </row>
    <row r="103" spans="1:19" s="230" customFormat="1" ht="14">
      <c r="A103" s="352" t="s">
        <v>134</v>
      </c>
      <c r="B103" s="352"/>
      <c r="C103" s="352" t="str">
        <f>IF(AND(Price_split&lt;&gt;"", Tech_split&lt;&gt;""), IF(SUM(Price_split,Tech_split)=100, IF(Int_or_SV="Not applicable", IF(AND(Tech_split&lt;&gt;"", Tech_Weighting&lt;&gt;""), IF(Tech_Weighting=Tech_split, "", CONCATENATE("NOTE:  Tech weighting does not equal ", Tech_split, "!")), "Add tech weighting"), IF(AND(Tech_split&lt;&gt;"", Tech_Weighting&lt;&gt;"", IntSV_Weighting&lt;&gt;""), IF(SUM(Tech_Weighting,IntSV_Weighting)=Tech_split, "", CONCATENATE("NOTE:  Tech weightings do not equal ", Tech_split, "!")), "Add tech weightings")), "NOTE:  Tech/Price split does not equal 100!"), "")</f>
        <v/>
      </c>
      <c r="D103" s="352" t="s">
        <v>951</v>
      </c>
      <c r="E103" s="473" t="s">
        <v>24</v>
      </c>
      <c r="F103" s="349" t="str">
        <f>IF(OR(TBL_001_ProjectInfo[[#This Row],[Type]]="Heading", TBL_001_ProjectInfo[[#This Row],[Required?]]="No"), "", IF(TBL_001_ProjectInfo[[#This Row],[Response]]&lt;&gt;"", "", "Add"))</f>
        <v>Add</v>
      </c>
      <c r="G103" s="473" t="str">
        <f>IF(TBL_001_ProjectInfo[[#This Row],[Comments]]&lt;&gt;"", "Error!", "Shade")</f>
        <v>Shade</v>
      </c>
      <c r="H103" s="349"/>
      <c r="I103" s="508"/>
      <c r="J103" s="480"/>
      <c r="K103" s="480"/>
      <c r="L103" s="480"/>
      <c r="M103" s="480"/>
      <c r="N103" s="480"/>
      <c r="O103" s="480"/>
      <c r="P103" s="480"/>
      <c r="Q103" s="480"/>
      <c r="R103" s="480"/>
      <c r="S103" s="484"/>
    </row>
    <row r="104" spans="1:19" s="230" customFormat="1" ht="14">
      <c r="A104" s="352" t="s">
        <v>1216</v>
      </c>
      <c r="B104" s="352" t="str">
        <f>IF(Price_split&lt;&gt;"", IF(Price_split=100, "Not applicable", ""), "Not applicable")</f>
        <v>Not applicable</v>
      </c>
      <c r="C104" s="352"/>
      <c r="D104" s="352" t="str">
        <f>IF(Price_split=100, "No", "Yes")</f>
        <v>Yes</v>
      </c>
      <c r="E104" s="473" t="s">
        <v>24</v>
      </c>
      <c r="F104" s="349" t="str">
        <f>IF(OR(TBL_001_ProjectInfo[[#This Row],[Type]]="Heading", TBL_001_ProjectInfo[[#This Row],[Required?]]="No"), "", IF(TBL_001_ProjectInfo[[#This Row],[Response]]&lt;&gt;"", "", "Add"))</f>
        <v/>
      </c>
      <c r="G104" s="473" t="str">
        <f>IF(TBL_001_ProjectInfo[[#This Row],[Comments]]&lt;&gt;"", "Error!", "Shade")</f>
        <v>Shade</v>
      </c>
      <c r="H104" s="349"/>
      <c r="I104" s="508"/>
      <c r="J104" s="480"/>
      <c r="K104" s="480"/>
      <c r="L104" s="480"/>
      <c r="M104" s="480"/>
      <c r="N104" s="480"/>
      <c r="O104" s="480"/>
      <c r="P104" s="480"/>
      <c r="Q104" s="480"/>
      <c r="R104" s="480"/>
      <c r="S104" s="484"/>
    </row>
    <row r="105" spans="1:19" s="230" customFormat="1" ht="14">
      <c r="A105" s="352" t="s">
        <v>952</v>
      </c>
      <c r="B105" s="352"/>
      <c r="C105" s="352"/>
      <c r="D105" s="352" t="s">
        <v>951</v>
      </c>
      <c r="E105" s="473" t="s">
        <v>1197</v>
      </c>
      <c r="F105" s="349" t="str">
        <f>IF(OR(TBL_001_ProjectInfo[[#This Row],[Type]]="Heading", TBL_001_ProjectInfo[[#This Row],[Required?]]="No"), "", IF(TBL_001_ProjectInfo[[#This Row],[Response]]&lt;&gt;"", "", "Add"))</f>
        <v/>
      </c>
      <c r="G105" s="349"/>
      <c r="H105" s="473"/>
      <c r="I105" s="508"/>
      <c r="J105" s="480"/>
      <c r="K105" s="480"/>
      <c r="L105" s="480"/>
      <c r="M105" s="480"/>
      <c r="N105" s="480"/>
      <c r="O105" s="480"/>
      <c r="P105" s="480"/>
      <c r="Q105" s="480"/>
      <c r="R105" s="480"/>
      <c r="S105" s="484"/>
    </row>
    <row r="106" spans="1:19" s="230" customFormat="1" ht="14">
      <c r="A106" s="352" t="s">
        <v>850</v>
      </c>
      <c r="B106" s="352" t="s">
        <v>762</v>
      </c>
      <c r="C106" s="352"/>
      <c r="D106" s="352" t="s">
        <v>951</v>
      </c>
      <c r="E106" s="473" t="s">
        <v>24</v>
      </c>
      <c r="F106" s="473" t="str">
        <f>IF(OR(TBL_001_ProjectInfo[[#This Row],[Type]]="Heading", TBL_001_ProjectInfo[[#This Row],[Required?]]="No"), "", IF(TBL_001_ProjectInfo[[#This Row],[Response]]&lt;&gt;"", "", "Add"))</f>
        <v/>
      </c>
      <c r="G106" s="473" t="s">
        <v>100</v>
      </c>
      <c r="H106" s="349"/>
      <c r="I106" s="508"/>
      <c r="J106" s="480"/>
      <c r="K106" s="480"/>
      <c r="L106" s="480"/>
      <c r="M106" s="480"/>
      <c r="N106" s="480"/>
      <c r="O106" s="480"/>
      <c r="P106" s="480"/>
      <c r="Q106" s="480"/>
      <c r="R106" s="480"/>
      <c r="S106" s="484"/>
    </row>
    <row r="107" spans="1:19" s="230" customFormat="1" ht="14">
      <c r="A107" s="352" t="s">
        <v>1139</v>
      </c>
      <c r="B107" s="352" t="s">
        <v>1257</v>
      </c>
      <c r="C107" s="352"/>
      <c r="D107" s="352" t="s">
        <v>951</v>
      </c>
      <c r="E107" s="473" t="s">
        <v>24</v>
      </c>
      <c r="F107" s="473" t="str">
        <f>IF(OR(TBL_001_ProjectInfo[[#This Row],[Type]]="Heading", TBL_001_ProjectInfo[[#This Row],[Required?]]="No"), "", IF(TBL_001_ProjectInfo[[#This Row],[Response]]&lt;&gt;"", "", "Add"))</f>
        <v/>
      </c>
      <c r="G107" s="473" t="s">
        <v>100</v>
      </c>
      <c r="H107" s="349"/>
      <c r="I107" s="508"/>
      <c r="J107" s="480"/>
      <c r="K107" s="480"/>
      <c r="L107" s="480"/>
      <c r="M107" s="480"/>
      <c r="N107" s="480"/>
      <c r="O107" s="480"/>
      <c r="P107" s="480"/>
      <c r="Q107" s="480"/>
      <c r="R107" s="480"/>
      <c r="S107" s="484"/>
    </row>
    <row r="108" spans="1:19" s="230" customFormat="1" ht="14">
      <c r="A108" s="352" t="s">
        <v>1217</v>
      </c>
      <c r="B108" s="352" t="s">
        <v>951</v>
      </c>
      <c r="C108" s="352"/>
      <c r="D108" s="352" t="str">
        <f>IF(Lotted?="No", "No", "Yes")</f>
        <v>Yes</v>
      </c>
      <c r="E108" s="473" t="s">
        <v>24</v>
      </c>
      <c r="F108" s="473" t="str">
        <f>IF(OR(TBL_001_ProjectInfo[[#This Row],[Type]]="Heading", TBL_001_ProjectInfo[[#This Row],[Required?]]="No"), "", IF(TBL_001_ProjectInfo[[#This Row],[Response]]&lt;&gt;"", "", "Add"))</f>
        <v/>
      </c>
      <c r="G108" s="473" t="s">
        <v>100</v>
      </c>
      <c r="H108" s="349"/>
      <c r="I108" s="508"/>
      <c r="J108" s="480"/>
      <c r="K108" s="480"/>
      <c r="L108" s="480"/>
      <c r="M108" s="480"/>
      <c r="N108" s="480"/>
      <c r="O108" s="480"/>
      <c r="P108" s="480"/>
      <c r="Q108" s="480"/>
      <c r="R108" s="480"/>
      <c r="S108" s="484"/>
    </row>
    <row r="109" spans="1:19" s="230" customFormat="1" ht="14">
      <c r="A109" s="352" t="s">
        <v>1218</v>
      </c>
      <c r="B109" s="352" t="s">
        <v>762</v>
      </c>
      <c r="C109" s="352"/>
      <c r="D109" s="352" t="str">
        <f>IF(OR(Lotted?="No", SQ_Same_Qs?="No"), "No", "Yes")</f>
        <v>Yes</v>
      </c>
      <c r="E109" s="473" t="s">
        <v>24</v>
      </c>
      <c r="F109" s="473" t="str">
        <f>IF(OR(TBL_001_ProjectInfo[[#This Row],[Type]]="Heading", TBL_001_ProjectInfo[[#This Row],[Required?]]="No"), "", IF(TBL_001_ProjectInfo[[#This Row],[Response]]&lt;&gt;"", "", "Add"))</f>
        <v/>
      </c>
      <c r="G109" s="473" t="s">
        <v>100</v>
      </c>
      <c r="H109" s="349"/>
      <c r="I109" s="508"/>
      <c r="J109" s="480"/>
      <c r="K109" s="480"/>
      <c r="L109" s="480"/>
      <c r="M109" s="480"/>
      <c r="N109" s="480"/>
      <c r="O109" s="480"/>
      <c r="P109" s="480"/>
      <c r="Q109" s="480"/>
      <c r="R109" s="480"/>
      <c r="S109" s="484"/>
    </row>
    <row r="110" spans="1:19" s="230" customFormat="1" ht="14">
      <c r="A110" s="352" t="s">
        <v>1200</v>
      </c>
      <c r="B110" s="352"/>
      <c r="C110" s="352"/>
      <c r="D110" s="352" t="str">
        <f>IF(Price_split=100, "No", "Yes")</f>
        <v>Yes</v>
      </c>
      <c r="E110" s="473" t="s">
        <v>1197</v>
      </c>
      <c r="F110" s="349" t="str">
        <f>IF(OR(TBL_001_ProjectInfo[[#This Row],[Type]]="Heading", TBL_001_ProjectInfo[[#This Row],[Required?]]="No"), "", IF(TBL_001_ProjectInfo[[#This Row],[Response]]&lt;&gt;"", "", "Add"))</f>
        <v/>
      </c>
      <c r="G110" s="349"/>
      <c r="H110" s="473"/>
      <c r="I110" s="508"/>
      <c r="J110" s="480"/>
      <c r="K110" s="480"/>
      <c r="L110" s="480"/>
      <c r="M110" s="480"/>
      <c r="N110" s="480"/>
      <c r="O110" s="480"/>
      <c r="P110" s="480"/>
      <c r="Q110" s="480"/>
      <c r="R110" s="480"/>
      <c r="S110" s="484"/>
    </row>
    <row r="111" spans="1:19" s="230" customFormat="1" ht="14">
      <c r="A111" s="352" t="s">
        <v>1221</v>
      </c>
      <c r="B111" s="352"/>
      <c r="C111" s="352"/>
      <c r="D111" s="352" t="str">
        <f>IF(Price_split=100, "No", "Yes")</f>
        <v>Yes</v>
      </c>
      <c r="E111" s="473" t="s">
        <v>24</v>
      </c>
      <c r="F111" s="473" t="str">
        <f>IF(OR(TBL_001_ProjectInfo[[#This Row],[Type]]="Heading", TBL_001_ProjectInfo[[#This Row],[Required?]]="No"), "", IF(TBL_001_ProjectInfo[[#This Row],[Response]]&lt;&gt;"", "", "Add"))</f>
        <v>Add</v>
      </c>
      <c r="G111" s="473" t="s">
        <v>100</v>
      </c>
      <c r="H111" s="349"/>
      <c r="I111" s="508"/>
      <c r="J111" s="480"/>
      <c r="K111" s="480"/>
      <c r="L111" s="480"/>
      <c r="M111" s="480"/>
      <c r="N111" s="480"/>
      <c r="O111" s="480"/>
      <c r="P111" s="480"/>
      <c r="Q111" s="480"/>
      <c r="R111" s="480"/>
      <c r="S111" s="484"/>
    </row>
    <row r="112" spans="1:19" s="230" customFormat="1" ht="14">
      <c r="A112" s="352" t="s">
        <v>1219</v>
      </c>
      <c r="B112" s="352"/>
      <c r="C112" s="352"/>
      <c r="D112" s="352" t="str">
        <f>IF(Price_split=100, "No", "Yes")</f>
        <v>Yes</v>
      </c>
      <c r="E112" s="473" t="s">
        <v>24</v>
      </c>
      <c r="F112" s="473" t="str">
        <f>IF(OR(TBL_001_ProjectInfo[[#This Row],[Type]]="Heading", TBL_001_ProjectInfo[[#This Row],[Required?]]="No"), "", IF(TBL_001_ProjectInfo[[#This Row],[Response]]&lt;&gt;"", "", "Add"))</f>
        <v>Add</v>
      </c>
      <c r="G112" s="473" t="s">
        <v>100</v>
      </c>
      <c r="H112" s="349"/>
      <c r="I112" s="508"/>
      <c r="J112" s="480"/>
      <c r="K112" s="480"/>
      <c r="L112" s="480"/>
      <c r="M112" s="480"/>
      <c r="N112" s="480"/>
      <c r="O112" s="480"/>
      <c r="P112" s="480"/>
      <c r="Q112" s="480"/>
      <c r="R112" s="480"/>
      <c r="S112" s="484"/>
    </row>
    <row r="113" spans="1:19" s="230" customFormat="1" ht="14">
      <c r="A113" s="352" t="s">
        <v>1139</v>
      </c>
      <c r="B113" s="352"/>
      <c r="C113" s="352"/>
      <c r="D113" s="352" t="str">
        <f>IF(Price_split=100, "No", "Yes")</f>
        <v>Yes</v>
      </c>
      <c r="E113" s="473" t="s">
        <v>24</v>
      </c>
      <c r="F113" s="473" t="str">
        <f>IF(OR(TBL_001_ProjectInfo[[#This Row],[Type]]="Heading", TBL_001_ProjectInfo[[#This Row],[Required?]]="No"), "", IF(TBL_001_ProjectInfo[[#This Row],[Response]]&lt;&gt;"", "", "Add"))</f>
        <v>Add</v>
      </c>
      <c r="G113" s="473" t="s">
        <v>100</v>
      </c>
      <c r="H113" s="349"/>
      <c r="I113" s="508"/>
      <c r="J113" s="480"/>
      <c r="K113" s="480"/>
      <c r="L113" s="480"/>
      <c r="M113" s="480"/>
      <c r="N113" s="480"/>
      <c r="O113" s="480"/>
      <c r="P113" s="480"/>
      <c r="Q113" s="480"/>
      <c r="R113" s="480"/>
      <c r="S113" s="484"/>
    </row>
    <row r="114" spans="1:19" s="230" customFormat="1" ht="14">
      <c r="A114" s="352" t="s">
        <v>1217</v>
      </c>
      <c r="B114" s="352"/>
      <c r="C114" s="352"/>
      <c r="D114" s="352" t="str">
        <f>IF(OR(Price_split=100, Lotted?="No"), "No", "Yes")</f>
        <v>Yes</v>
      </c>
      <c r="E114" s="473" t="s">
        <v>24</v>
      </c>
      <c r="F114" s="473" t="str">
        <f>IF(OR(TBL_001_ProjectInfo[[#This Row],[Type]]="Heading", TBL_001_ProjectInfo[[#This Row],[Required?]]="No"), "", IF(TBL_001_ProjectInfo[[#This Row],[Response]]&lt;&gt;"", "", "Add"))</f>
        <v>Add</v>
      </c>
      <c r="G114" s="473" t="s">
        <v>100</v>
      </c>
      <c r="H114" s="349"/>
      <c r="I114" s="508"/>
      <c r="J114" s="480"/>
      <c r="K114" s="480"/>
      <c r="L114" s="480"/>
      <c r="M114" s="480"/>
      <c r="N114" s="480"/>
      <c r="O114" s="480"/>
      <c r="P114" s="480"/>
      <c r="Q114" s="480"/>
      <c r="R114" s="480"/>
      <c r="S114" s="484"/>
    </row>
    <row r="115" spans="1:19" s="230" customFormat="1" ht="14">
      <c r="A115" s="352" t="s">
        <v>1218</v>
      </c>
      <c r="B115" s="352"/>
      <c r="C115" s="352"/>
      <c r="D115" s="352" t="str">
        <f>IF(OR(Price_split=100, Lotted?="No", Tech_Same_Response?="No"), "No", "Yes")</f>
        <v>Yes</v>
      </c>
      <c r="E115" s="473" t="s">
        <v>24</v>
      </c>
      <c r="F115" s="473" t="str">
        <f>IF(OR(TBL_001_ProjectInfo[[#This Row],[Type]]="Heading", TBL_001_ProjectInfo[[#This Row],[Required?]]="No"), "", IF(TBL_001_ProjectInfo[[#This Row],[Response]]&lt;&gt;"", "", "Add"))</f>
        <v>Add</v>
      </c>
      <c r="G115" s="473" t="s">
        <v>100</v>
      </c>
      <c r="H115" s="349"/>
      <c r="I115" s="508"/>
      <c r="J115" s="480"/>
      <c r="K115" s="480"/>
      <c r="L115" s="480"/>
      <c r="M115" s="480"/>
      <c r="N115" s="480"/>
      <c r="O115" s="480"/>
      <c r="P115" s="480"/>
      <c r="Q115" s="480"/>
      <c r="R115" s="480"/>
      <c r="S115" s="484"/>
    </row>
    <row r="116" spans="1:19" s="230" customFormat="1" ht="14">
      <c r="A116" s="352" t="s">
        <v>1220</v>
      </c>
      <c r="B116" s="352"/>
      <c r="C116" s="352"/>
      <c r="D116" s="352" t="str">
        <f>IF(OR(Price_split=100, Int_or_SV="Not applicable"), "No", "Yes")</f>
        <v>No</v>
      </c>
      <c r="E116" s="473" t="s">
        <v>1197</v>
      </c>
      <c r="F116" s="349" t="str">
        <f>IF(OR(TBL_001_ProjectInfo[[#This Row],[Type]]="Heading", TBL_001_ProjectInfo[[#This Row],[Required?]]="No"), "", IF(TBL_001_ProjectInfo[[#This Row],[Response]]&lt;&gt;"", "", "Add"))</f>
        <v/>
      </c>
      <c r="G116" s="349"/>
      <c r="H116" s="473"/>
      <c r="I116" s="508"/>
      <c r="J116" s="480"/>
      <c r="K116" s="480"/>
      <c r="L116" s="480"/>
      <c r="M116" s="480"/>
      <c r="N116" s="480"/>
      <c r="O116" s="480"/>
      <c r="P116" s="480"/>
      <c r="Q116" s="480"/>
      <c r="R116" s="480"/>
      <c r="S116" s="484"/>
    </row>
    <row r="117" spans="1:19" s="230" customFormat="1" ht="14">
      <c r="A117" s="352" t="s">
        <v>1221</v>
      </c>
      <c r="B117" s="352"/>
      <c r="C117" s="352"/>
      <c r="D117" s="352" t="str">
        <f>IF(OR(Price_split=100, Int_or_SV="Not applicable"), "No", "Yes")</f>
        <v>No</v>
      </c>
      <c r="E117" s="473" t="s">
        <v>24</v>
      </c>
      <c r="F117" s="473" t="str">
        <f>IF(OR(TBL_001_ProjectInfo[[#This Row],[Type]]="Heading", TBL_001_ProjectInfo[[#This Row],[Required?]]="No"), "", IF(TBL_001_ProjectInfo[[#This Row],[Response]]&lt;&gt;"", "", "Add"))</f>
        <v/>
      </c>
      <c r="G117" s="473" t="s">
        <v>100</v>
      </c>
      <c r="H117" s="349"/>
      <c r="I117" s="508"/>
      <c r="J117" s="480"/>
      <c r="K117" s="480"/>
      <c r="L117" s="480"/>
      <c r="M117" s="480"/>
      <c r="N117" s="480"/>
      <c r="O117" s="480"/>
      <c r="P117" s="480"/>
      <c r="Q117" s="480"/>
      <c r="R117" s="480"/>
      <c r="S117" s="484"/>
    </row>
    <row r="118" spans="1:19" s="230" customFormat="1" ht="14">
      <c r="A118" s="352" t="s">
        <v>1219</v>
      </c>
      <c r="B118" s="352"/>
      <c r="C118" s="352"/>
      <c r="D118" s="352" t="str">
        <f>IF(OR(Price_split=100, Int_or_SV="Not applicable"), "No", "Yes")</f>
        <v>No</v>
      </c>
      <c r="E118" s="473" t="s">
        <v>24</v>
      </c>
      <c r="F118" s="473" t="str">
        <f>IF(OR(TBL_001_ProjectInfo[[#This Row],[Type]]="Heading", TBL_001_ProjectInfo[[#This Row],[Required?]]="No"), "", IF(TBL_001_ProjectInfo[[#This Row],[Response]]&lt;&gt;"", "", "Add"))</f>
        <v/>
      </c>
      <c r="G118" s="473" t="s">
        <v>100</v>
      </c>
      <c r="H118" s="349"/>
      <c r="I118" s="508"/>
      <c r="J118" s="480"/>
      <c r="K118" s="480"/>
      <c r="L118" s="480"/>
      <c r="M118" s="480"/>
      <c r="N118" s="480"/>
      <c r="O118" s="480"/>
      <c r="P118" s="480"/>
      <c r="Q118" s="480"/>
      <c r="R118" s="480"/>
      <c r="S118" s="484"/>
    </row>
    <row r="119" spans="1:19" s="230" customFormat="1" ht="14">
      <c r="A119" s="352" t="s">
        <v>1139</v>
      </c>
      <c r="B119" s="352"/>
      <c r="C119" s="352"/>
      <c r="D119" s="352" t="str">
        <f>IF(OR(Price_split=100, Int_or_SV="Not applicable"), "No", "Yes")</f>
        <v>No</v>
      </c>
      <c r="E119" s="473" t="s">
        <v>24</v>
      </c>
      <c r="F119" s="473" t="str">
        <f>IF(OR(TBL_001_ProjectInfo[[#This Row],[Type]]="Heading", TBL_001_ProjectInfo[[#This Row],[Required?]]="No"), "", IF(TBL_001_ProjectInfo[[#This Row],[Response]]&lt;&gt;"", "", "Add"))</f>
        <v/>
      </c>
      <c r="G119" s="473" t="s">
        <v>100</v>
      </c>
      <c r="H119" s="349"/>
      <c r="I119" s="508"/>
      <c r="J119" s="480"/>
      <c r="K119" s="480"/>
      <c r="L119" s="480"/>
      <c r="M119" s="480"/>
      <c r="N119" s="480"/>
      <c r="O119" s="480"/>
      <c r="P119" s="480"/>
      <c r="Q119" s="480"/>
      <c r="R119" s="480"/>
      <c r="S119" s="484"/>
    </row>
    <row r="120" spans="1:19" s="230" customFormat="1" ht="14">
      <c r="A120" s="352" t="s">
        <v>1217</v>
      </c>
      <c r="B120" s="352"/>
      <c r="C120" s="352"/>
      <c r="D120" s="352" t="str">
        <f>IF(OR(Price_split=100, Int_or_SV="Not applicable", Lotted?="No"), "No", "Yes")</f>
        <v>No</v>
      </c>
      <c r="E120" s="473" t="s">
        <v>24</v>
      </c>
      <c r="F120" s="473" t="str">
        <f>IF(OR(TBL_001_ProjectInfo[[#This Row],[Type]]="Heading", TBL_001_ProjectInfo[[#This Row],[Required?]]="No"), "", IF(TBL_001_ProjectInfo[[#This Row],[Response]]&lt;&gt;"", "", "Add"))</f>
        <v/>
      </c>
      <c r="G120" s="473" t="s">
        <v>100</v>
      </c>
      <c r="H120" s="349"/>
      <c r="I120" s="508"/>
      <c r="J120" s="480"/>
      <c r="K120" s="480"/>
      <c r="L120" s="480"/>
      <c r="M120" s="480"/>
      <c r="N120" s="480"/>
      <c r="O120" s="480"/>
      <c r="P120" s="480"/>
      <c r="Q120" s="480"/>
      <c r="R120" s="480"/>
      <c r="S120" s="484"/>
    </row>
    <row r="121" spans="1:19" s="230" customFormat="1" ht="14">
      <c r="A121" s="352" t="str">
        <f>IF(Lotted?="Yes", "Details of Lot 1", "Further contract details")</f>
        <v>Details of Lot 1</v>
      </c>
      <c r="B121" s="352"/>
      <c r="C121" s="352"/>
      <c r="D121" s="352" t="s">
        <v>951</v>
      </c>
      <c r="E121" s="473" t="s">
        <v>1197</v>
      </c>
      <c r="F121" s="473" t="str">
        <f>IF(OR(TBL_001_ProjectInfo[[#This Row],[Type]]="Heading", TBL_001_ProjectInfo[[#This Row],[Required?]]="No"), "", IF(TBL_001_ProjectInfo[[#This Row],[Response]]&lt;&gt;"", "", "Add"))</f>
        <v/>
      </c>
      <c r="G121" s="473"/>
      <c r="H121" s="473"/>
      <c r="I121" s="508"/>
      <c r="J121" s="480"/>
      <c r="K121" s="480"/>
      <c r="L121" s="480"/>
      <c r="M121" s="480"/>
      <c r="N121" s="480"/>
      <c r="O121" s="480"/>
      <c r="P121" s="480"/>
      <c r="Q121" s="480"/>
      <c r="R121" s="480"/>
      <c r="S121" s="484"/>
    </row>
    <row r="122" spans="1:19" s="230" customFormat="1" ht="14">
      <c r="A122" s="352" t="s">
        <v>1222</v>
      </c>
      <c r="B122" s="352" t="s">
        <v>1246</v>
      </c>
      <c r="C122" s="352"/>
      <c r="D122" s="352" t="str">
        <f>IF(Lotted?="No", "No", "Yes")</f>
        <v>Yes</v>
      </c>
      <c r="E122" s="473" t="s">
        <v>24</v>
      </c>
      <c r="F122" s="473" t="str">
        <f>IF(OR(TBL_001_ProjectInfo[[#This Row],[Type]]="Heading", TBL_001_ProjectInfo[[#This Row],[Required?]]="No"), "", IF(TBL_001_ProjectInfo[[#This Row],[Response]]&lt;&gt;"", "", "Add"))</f>
        <v/>
      </c>
      <c r="G122" s="473" t="s">
        <v>100</v>
      </c>
      <c r="H122" s="473"/>
      <c r="I122" s="508"/>
      <c r="J122" s="480"/>
      <c r="K122" s="480"/>
      <c r="L122" s="480"/>
      <c r="M122" s="480"/>
      <c r="N122" s="480"/>
      <c r="O122" s="480"/>
      <c r="P122" s="480"/>
      <c r="Q122" s="480"/>
      <c r="R122" s="480"/>
      <c r="S122" s="484"/>
    </row>
    <row r="123" spans="1:19" s="230" customFormat="1" ht="28">
      <c r="A123" s="352" t="s">
        <v>1223</v>
      </c>
      <c r="B123" s="352" t="s">
        <v>1247</v>
      </c>
      <c r="C123" s="352"/>
      <c r="D123" s="352" t="str">
        <f>IF(Lotted?="No", "No", "Yes")</f>
        <v>Yes</v>
      </c>
      <c r="E123" s="473" t="s">
        <v>24</v>
      </c>
      <c r="F123" s="473" t="str">
        <f>IF(OR(TBL_001_ProjectInfo[[#This Row],[Type]]="Heading", TBL_001_ProjectInfo[[#This Row],[Required?]]="No"), "", IF(TBL_001_ProjectInfo[[#This Row],[Response]]&lt;&gt;"", "", "Add"))</f>
        <v/>
      </c>
      <c r="G123" s="473" t="s">
        <v>100</v>
      </c>
      <c r="H123" s="473"/>
      <c r="I123" s="508"/>
      <c r="J123" s="480"/>
      <c r="K123" s="480"/>
      <c r="L123" s="480"/>
      <c r="M123" s="480"/>
      <c r="N123" s="480"/>
      <c r="O123" s="480"/>
      <c r="P123" s="480"/>
      <c r="Q123" s="480"/>
      <c r="R123" s="480"/>
      <c r="S123" s="484"/>
    </row>
    <row r="124" spans="1:19" s="230" customFormat="1" ht="14">
      <c r="A124" s="352" t="s">
        <v>1164</v>
      </c>
      <c r="B124" s="352" t="str">
        <f>IF($B$63&lt;&gt;"",$B$63, "")</f>
        <v>properties</v>
      </c>
      <c r="C124" s="352"/>
      <c r="D124" s="352" t="s">
        <v>951</v>
      </c>
      <c r="E124" s="473" t="s">
        <v>24</v>
      </c>
      <c r="F124" s="349" t="str">
        <f>IF(OR(TBL_001_ProjectInfo[[#This Row],[Type]]="Heading", TBL_001_ProjectInfo[[#This Row],[Required?]]="No"), "", IF(TBL_001_ProjectInfo[[#This Row],[Response]]&lt;&gt;"", "", "Add"))</f>
        <v/>
      </c>
      <c r="G124" s="473" t="s">
        <v>100</v>
      </c>
      <c r="H124" s="473"/>
      <c r="I124" s="508"/>
      <c r="J124" s="480"/>
      <c r="K124" s="480"/>
      <c r="L124" s="480"/>
      <c r="M124" s="480"/>
      <c r="N124" s="480"/>
      <c r="O124" s="480"/>
      <c r="P124" s="480"/>
      <c r="Q124" s="480"/>
      <c r="R124" s="480"/>
      <c r="S124" s="484"/>
    </row>
    <row r="125" spans="1:19" s="230" customFormat="1" ht="14">
      <c r="A125" s="352" t="str">
        <f>CONCATENATE("Number of ", IF($B$124&lt;&gt;"", B124, "properties")," applicable to this ", IF(Lotted?="Yes", "lot", "procurement"))</f>
        <v>Number of properties applicable to this lot</v>
      </c>
      <c r="B125" s="352">
        <v>2200</v>
      </c>
      <c r="C125" s="352"/>
      <c r="D125" s="352" t="s">
        <v>951</v>
      </c>
      <c r="E125" s="473" t="s">
        <v>24</v>
      </c>
      <c r="F125" s="349" t="str">
        <f>IF(OR(TBL_001_ProjectInfo[[#This Row],[Type]]="Heading", TBL_001_ProjectInfo[[#This Row],[Required?]]="No"), "", IF(TBL_001_ProjectInfo[[#This Row],[Response]]&lt;&gt;"", "", "Add"))</f>
        <v/>
      </c>
      <c r="G125" s="473" t="s">
        <v>100</v>
      </c>
      <c r="H125" s="473"/>
      <c r="I125" s="508"/>
      <c r="J125" s="480"/>
      <c r="K125" s="480"/>
      <c r="L125" s="480"/>
      <c r="M125" s="480"/>
      <c r="N125" s="480"/>
      <c r="O125" s="480"/>
      <c r="P125" s="480"/>
      <c r="Q125" s="480"/>
      <c r="R125" s="480"/>
      <c r="S125" s="484"/>
    </row>
    <row r="126" spans="1:19" s="230" customFormat="1" ht="14">
      <c r="A126" s="352" t="s">
        <v>147</v>
      </c>
      <c r="B126" s="352" t="s">
        <v>1244</v>
      </c>
      <c r="C126" s="352"/>
      <c r="D126" s="352" t="s">
        <v>951</v>
      </c>
      <c r="E126" s="473" t="s">
        <v>24</v>
      </c>
      <c r="F126" s="349" t="str">
        <f>IF(OR(TBL_001_ProjectInfo[[#This Row],[Type]]="Heading", TBL_001_ProjectInfo[[#This Row],[Required?]]="No"), "", IF(TBL_001_ProjectInfo[[#This Row],[Response]]&lt;&gt;"", "", "Add"))</f>
        <v/>
      </c>
      <c r="G126" s="473" t="s">
        <v>100</v>
      </c>
      <c r="H126" s="473"/>
      <c r="I126" s="508"/>
      <c r="J126" s="480"/>
      <c r="K126" s="480"/>
      <c r="L126" s="480"/>
      <c r="M126" s="480"/>
      <c r="N126" s="480"/>
      <c r="O126" s="480"/>
      <c r="P126" s="480"/>
      <c r="Q126" s="480"/>
      <c r="R126" s="480"/>
      <c r="S126" s="484"/>
    </row>
    <row r="127" spans="1:19" s="230" customFormat="1" ht="14">
      <c r="A127" s="352" t="s">
        <v>761</v>
      </c>
      <c r="B127" s="350" t="s">
        <v>1248</v>
      </c>
      <c r="C127" s="352"/>
      <c r="D127" s="352" t="s">
        <v>951</v>
      </c>
      <c r="E127" s="473" t="s">
        <v>24</v>
      </c>
      <c r="F127" s="349" t="str">
        <f>IF(OR(TBL_001_ProjectInfo[[#This Row],[Type]]="Heading", TBL_001_ProjectInfo[[#This Row],[Required?]]="No"), "", IF(TBL_001_ProjectInfo[[#This Row],[Response]]&lt;&gt;"", "", "Add"))</f>
        <v/>
      </c>
      <c r="G127" s="473" t="s">
        <v>100</v>
      </c>
      <c r="H127" s="473"/>
      <c r="I127" s="508"/>
      <c r="J127" s="480"/>
      <c r="K127" s="480"/>
      <c r="L127" s="480"/>
      <c r="M127" s="480"/>
      <c r="N127" s="480"/>
      <c r="O127" s="480"/>
      <c r="P127" s="480"/>
      <c r="Q127" s="480"/>
      <c r="R127" s="480"/>
      <c r="S127" s="484"/>
    </row>
    <row r="128" spans="1:19" s="230" customFormat="1" ht="14">
      <c r="A128" s="352" t="s">
        <v>170</v>
      </c>
      <c r="B128" s="350"/>
      <c r="C128" s="352"/>
      <c r="D128" s="352" t="str">
        <f>IF(OR($B$127="Single figure", $B$127="N/A"), "No", "Yes")</f>
        <v>No</v>
      </c>
      <c r="E128" s="473" t="s">
        <v>24</v>
      </c>
      <c r="F128" s="349" t="str">
        <f>IF(OR(TBL_001_ProjectInfo[[#This Row],[Type]]="Heading", TBL_001_ProjectInfo[[#This Row],[Required?]]="No"), "", IF(TBL_001_ProjectInfo[[#This Row],[Response]]&lt;&gt;"", "", "Add"))</f>
        <v/>
      </c>
      <c r="G128" s="473" t="s">
        <v>100</v>
      </c>
      <c r="H128" s="473"/>
      <c r="I128" s="508"/>
      <c r="J128" s="480"/>
      <c r="K128" s="480"/>
      <c r="L128" s="480"/>
      <c r="M128" s="480"/>
      <c r="N128" s="480"/>
      <c r="O128" s="480"/>
      <c r="P128" s="480"/>
      <c r="Q128" s="480"/>
      <c r="R128" s="480"/>
      <c r="S128" s="484"/>
    </row>
    <row r="129" spans="1:19" s="230" customFormat="1" ht="14">
      <c r="A129" s="352" t="s">
        <v>169</v>
      </c>
      <c r="B129" s="350">
        <v>350000</v>
      </c>
      <c r="C129" s="352" t="s">
        <v>1250</v>
      </c>
      <c r="D129" s="352" t="str">
        <f>IF($B$127="N/A", "No", "Yes")</f>
        <v>Yes</v>
      </c>
      <c r="E129" s="473" t="s">
        <v>24</v>
      </c>
      <c r="F129" s="349" t="str">
        <f>IF(OR(TBL_001_ProjectInfo[[#This Row],[Type]]="Heading", TBL_001_ProjectInfo[[#This Row],[Required?]]="No"), "", IF(TBL_001_ProjectInfo[[#This Row],[Response]]&lt;&gt;"", "", "Add"))</f>
        <v/>
      </c>
      <c r="G129" s="473" t="s">
        <v>100</v>
      </c>
      <c r="H129" s="473"/>
      <c r="I129" s="508"/>
      <c r="J129" s="480"/>
      <c r="K129" s="480"/>
      <c r="L129" s="480"/>
      <c r="M129" s="480"/>
      <c r="N129" s="480"/>
      <c r="O129" s="480"/>
      <c r="P129" s="480"/>
      <c r="Q129" s="480"/>
      <c r="R129" s="480"/>
      <c r="S129" s="484"/>
    </row>
    <row r="130" spans="1:19" s="230" customFormat="1" ht="14">
      <c r="A130" s="352" t="str">
        <f>CONCATENATE(IF($B$18="Restricted Procedure", "Tender", "Initial tender"), " - Min. no. to invite", IF(Lotted?="No", "?", " for this lot?"))</f>
        <v>Tender - Min. no. to invite for this lot?</v>
      </c>
      <c r="B130" s="352" t="str">
        <f>IF(TBL_001_ProjectInfo[[#This Row],[Required?]]="Yes", IF($B$92&lt;&gt;"", $B$92, ""), "")</f>
        <v/>
      </c>
      <c r="C130" s="352"/>
      <c r="D130" s="352" t="str">
        <f>IF(OR(Lotted?="No", $B$18="Open Procedure"), "No", "Yes")</f>
        <v>Yes</v>
      </c>
      <c r="E130" s="473" t="s">
        <v>24</v>
      </c>
      <c r="F130" s="473" t="str">
        <f>IF(OR(TBL_001_ProjectInfo[[#This Row],[Type]]="Heading", TBL_001_ProjectInfo[[#This Row],[Required?]]="No"), "", IF(TBL_001_ProjectInfo[[#This Row],[Response]]&lt;&gt;"", "", "Add"))</f>
        <v>Add</v>
      </c>
      <c r="G130" s="473" t="s">
        <v>100</v>
      </c>
      <c r="H130" s="473"/>
      <c r="I130" s="508"/>
      <c r="J130" s="480"/>
      <c r="K130" s="480"/>
      <c r="L130" s="480"/>
      <c r="M130" s="480"/>
      <c r="N130" s="480"/>
      <c r="O130" s="480"/>
      <c r="P130" s="480"/>
      <c r="Q130" s="480"/>
      <c r="R130" s="480"/>
      <c r="S130" s="484"/>
    </row>
    <row r="131" spans="1:19" s="230" customFormat="1" ht="14">
      <c r="A131" s="352" t="str">
        <f>CONCATENATE(IF($B$18="Restricted Procedure", "Tender", "Initial tender"), " - Max. no. to invite", IF(Lotted?="No", "?", " for this lot?"))</f>
        <v>Tender - Max. no. to invite for this lot?</v>
      </c>
      <c r="B131" s="352" t="str">
        <f>IF(TBL_001_ProjectInfo[[#This Row],[Required?]]="Yes", IF($B$93&lt;&gt;"", $B$93, ""), "")</f>
        <v/>
      </c>
      <c r="C131" s="352"/>
      <c r="D131" s="352" t="str">
        <f>IF(OR(Lotted?="No", $B$18="Open Procedure"), "No", "Yes")</f>
        <v>Yes</v>
      </c>
      <c r="E131" s="473" t="s">
        <v>24</v>
      </c>
      <c r="F131" s="473" t="str">
        <f>IF(OR(TBL_001_ProjectInfo[[#This Row],[Type]]="Heading", TBL_001_ProjectInfo[[#This Row],[Required?]]="No"), "", IF(TBL_001_ProjectInfo[[#This Row],[Response]]&lt;&gt;"", "", "Add"))</f>
        <v>Add</v>
      </c>
      <c r="G131" s="473" t="s">
        <v>100</v>
      </c>
      <c r="H131" s="473"/>
      <c r="I131" s="508"/>
      <c r="J131" s="480"/>
      <c r="K131" s="480"/>
      <c r="L131" s="480"/>
      <c r="M131" s="480"/>
      <c r="N131" s="480"/>
      <c r="O131" s="480"/>
      <c r="P131" s="480"/>
      <c r="Q131" s="480"/>
      <c r="R131" s="480"/>
      <c r="S131" s="484"/>
    </row>
    <row r="132" spans="1:19" s="230" customFormat="1" ht="14">
      <c r="A132" s="352" t="str">
        <f>CONCATENATE(IF($B$18="Competitive Dialogue Procedure", "Dialogue", "Negotiations"), " - Min. no. to invite", IF(Lotted?="No", "?", " for this lot?"))</f>
        <v>Negotiations - Min. no. to invite for this lot?</v>
      </c>
      <c r="B132" s="352" t="str">
        <f>IF(TBL_001_ProjectInfo[[#This Row],[Required?]]="Yes", IF($B$95&lt;&gt;"", $B$95, ""), "")</f>
        <v/>
      </c>
      <c r="C132" s="352"/>
      <c r="D132" s="352" t="str">
        <f>IF(OR(Lotted?="No", $B$18="Open Procedure", $B$18="Restricted Procedure"), "No", "Yes")</f>
        <v>No</v>
      </c>
      <c r="E132" s="473" t="s">
        <v>24</v>
      </c>
      <c r="F132" s="473" t="str">
        <f>IF(OR(TBL_001_ProjectInfo[[#This Row],[Type]]="Heading", TBL_001_ProjectInfo[[#This Row],[Required?]]="No"), "", IF(TBL_001_ProjectInfo[[#This Row],[Response]]&lt;&gt;"", "", "Add"))</f>
        <v/>
      </c>
      <c r="G132" s="473" t="s">
        <v>100</v>
      </c>
      <c r="H132" s="473"/>
      <c r="I132" s="508"/>
      <c r="J132" s="480"/>
      <c r="K132" s="480"/>
      <c r="L132" s="480"/>
      <c r="M132" s="480"/>
      <c r="N132" s="480"/>
      <c r="O132" s="480"/>
      <c r="P132" s="480"/>
      <c r="Q132" s="480"/>
      <c r="R132" s="480"/>
      <c r="S132" s="484"/>
    </row>
    <row r="133" spans="1:19" s="230" customFormat="1" ht="14">
      <c r="A133" s="352" t="str">
        <f>CONCATENATE(IF($B$18="Competitive Dialogue Procedure", "Dialogue", "Negotiations"), " - Max. no. to invite", IF(Lotted?="No", "?", " for this lot?"))</f>
        <v>Negotiations - Max. no. to invite for this lot?</v>
      </c>
      <c r="B133" s="352" t="str">
        <f>IF(TBL_001_ProjectInfo[[#This Row],[Required?]]="Yes", IF($B$96&lt;&gt;"", $B$96, ""), "")</f>
        <v/>
      </c>
      <c r="C133" s="352"/>
      <c r="D133" s="352" t="str">
        <f>IF(OR(Lotted?="No", $B$18="Open Procedure", $B$18="Restricted Procedure"), "No", "Yes")</f>
        <v>No</v>
      </c>
      <c r="E133" s="473" t="s">
        <v>24</v>
      </c>
      <c r="F133" s="473" t="str">
        <f>IF(OR(TBL_001_ProjectInfo[[#This Row],[Type]]="Heading", TBL_001_ProjectInfo[[#This Row],[Required?]]="No"), "", IF(TBL_001_ProjectInfo[[#This Row],[Response]]&lt;&gt;"", "", "Add"))</f>
        <v/>
      </c>
      <c r="G133" s="473" t="s">
        <v>100</v>
      </c>
      <c r="H133" s="473"/>
      <c r="I133" s="508"/>
      <c r="J133" s="480"/>
      <c r="K133" s="480"/>
      <c r="L133" s="480"/>
      <c r="M133" s="480"/>
      <c r="N133" s="480"/>
      <c r="O133" s="480"/>
      <c r="P133" s="480"/>
      <c r="Q133" s="480"/>
      <c r="R133" s="480"/>
      <c r="S133" s="484"/>
    </row>
    <row r="134" spans="1:19" s="230" customFormat="1" ht="14">
      <c r="A134" s="352" t="s">
        <v>1226</v>
      </c>
      <c r="B134" s="352" t="str">
        <f>IF(TBL_001_ProjectInfo[[#This Row],[Required?]]="Yes", IF($B$98&lt;&gt;"", $B$98, ""), "")</f>
        <v/>
      </c>
      <c r="C134" s="352"/>
      <c r="D134" s="352" t="str">
        <f>IF(OR(Lotted?="No", $B$18="Open Procedure", $B$18="Restricted Procedure"), "No", "Yes")</f>
        <v>No</v>
      </c>
      <c r="E134" s="473" t="s">
        <v>24</v>
      </c>
      <c r="F134" s="473" t="str">
        <f>IF(OR(TBL_001_ProjectInfo[[#This Row],[Type]]="Heading", TBL_001_ProjectInfo[[#This Row],[Required?]]="No"), "", IF(TBL_001_ProjectInfo[[#This Row],[Response]]&lt;&gt;"", "", "Add"))</f>
        <v/>
      </c>
      <c r="G134" s="473" t="s">
        <v>100</v>
      </c>
      <c r="H134" s="473"/>
      <c r="I134" s="508"/>
      <c r="J134" s="480"/>
      <c r="K134" s="480"/>
      <c r="L134" s="480"/>
      <c r="M134" s="480"/>
      <c r="N134" s="480"/>
      <c r="O134" s="480"/>
      <c r="P134" s="480"/>
      <c r="Q134" s="480"/>
      <c r="R134" s="480"/>
      <c r="S134" s="484"/>
    </row>
    <row r="135" spans="1:19" s="230" customFormat="1" ht="14">
      <c r="A135" s="352" t="s">
        <v>1227</v>
      </c>
      <c r="B135" s="352" t="str">
        <f>IF(TBL_001_ProjectInfo[[#This Row],[Required?]]="Yes", IF($B$99&lt;&gt;"", $B$99, ""), "")</f>
        <v/>
      </c>
      <c r="C135" s="352"/>
      <c r="D135" s="352" t="str">
        <f>IF(OR(Lotted?="No", $B$18="Open Procedure", $B$18="Restricted Procedure"), "No", "Yes")</f>
        <v>No</v>
      </c>
      <c r="E135" s="473" t="s">
        <v>24</v>
      </c>
      <c r="F135" s="473" t="str">
        <f>IF(OR(TBL_001_ProjectInfo[[#This Row],[Type]]="Heading", TBL_001_ProjectInfo[[#This Row],[Required?]]="No"), "", IF(TBL_001_ProjectInfo[[#This Row],[Response]]&lt;&gt;"", "", "Add"))</f>
        <v/>
      </c>
      <c r="G135" s="473" t="s">
        <v>100</v>
      </c>
      <c r="H135" s="473"/>
      <c r="I135" s="508"/>
      <c r="J135" s="480"/>
      <c r="K135" s="480"/>
      <c r="L135" s="480"/>
      <c r="M135" s="480"/>
      <c r="N135" s="480"/>
      <c r="O135" s="480"/>
      <c r="P135" s="480"/>
      <c r="Q135" s="480"/>
      <c r="R135" s="480"/>
      <c r="S135" s="484"/>
    </row>
    <row r="136" spans="1:19" ht="14">
      <c r="A136" s="352" t="s">
        <v>1224</v>
      </c>
      <c r="B136" s="352">
        <v>1</v>
      </c>
      <c r="C136" s="352"/>
      <c r="D136" s="352" t="str">
        <f>IF(Lotted?="No", "No", "Yes")</f>
        <v>Yes</v>
      </c>
      <c r="E136" s="473" t="s">
        <v>24</v>
      </c>
      <c r="F136" s="473" t="str">
        <f>IF(OR(TBL_001_ProjectInfo[[#This Row],[Type]]="Heading", TBL_001_ProjectInfo[[#This Row],[Required?]]="No"), "", IF(TBL_001_ProjectInfo[[#This Row],[Response]]&lt;&gt;"", "", "Add"))</f>
        <v/>
      </c>
      <c r="G136" s="473" t="s">
        <v>100</v>
      </c>
      <c r="H136" s="473"/>
      <c r="I136" s="508"/>
    </row>
    <row r="137" spans="1:19" ht="14">
      <c r="A137" s="352" t="s">
        <v>1225</v>
      </c>
      <c r="B137" s="352">
        <v>1</v>
      </c>
      <c r="C137" s="352"/>
      <c r="D137" s="352" t="str">
        <f>IF(Lotted?="No", "No", "Yes")</f>
        <v>Yes</v>
      </c>
      <c r="E137" s="473" t="s">
        <v>24</v>
      </c>
      <c r="F137" s="473" t="str">
        <f>IF(OR(TBL_001_ProjectInfo[[#This Row],[Type]]="Heading", TBL_001_ProjectInfo[[#This Row],[Required?]]="No"), "", IF(TBL_001_ProjectInfo[[#This Row],[Response]]&lt;&gt;"", "", "Add"))</f>
        <v/>
      </c>
      <c r="G137" s="473" t="s">
        <v>100</v>
      </c>
      <c r="H137" s="473"/>
      <c r="I137" s="508"/>
    </row>
    <row r="138" spans="1:19" ht="14">
      <c r="A138" s="352" t="s">
        <v>1198</v>
      </c>
      <c r="B138" s="352"/>
      <c r="C138" s="352"/>
      <c r="D138" s="352" t="str">
        <f t="shared" ref="D138:D144" si="3">IF(OR(Lotted?="No", No_Lots?&lt;2), "No", "Yes")</f>
        <v>Yes</v>
      </c>
      <c r="E138" s="473" t="s">
        <v>1197</v>
      </c>
      <c r="F138" s="473" t="str">
        <f>IF(OR(TBL_001_ProjectInfo[[#This Row],[Type]]="Heading", TBL_001_ProjectInfo[[#This Row],[Required?]]="No"), "", IF(TBL_001_ProjectInfo[[#This Row],[Response]]&lt;&gt;"", "", "Add"))</f>
        <v/>
      </c>
      <c r="G138" s="473"/>
      <c r="H138" s="473"/>
      <c r="I138" s="508"/>
    </row>
    <row r="139" spans="1:19" ht="14">
      <c r="A139" s="352" t="s">
        <v>1222</v>
      </c>
      <c r="B139" s="352" t="s">
        <v>1251</v>
      </c>
      <c r="C139" s="352"/>
      <c r="D139" s="352" t="str">
        <f t="shared" si="3"/>
        <v>Yes</v>
      </c>
      <c r="E139" s="473" t="s">
        <v>24</v>
      </c>
      <c r="F139" s="473" t="str">
        <f>IF(OR(TBL_001_ProjectInfo[[#This Row],[Type]]="Heading", TBL_001_ProjectInfo[[#This Row],[Required?]]="No"), "", IF(TBL_001_ProjectInfo[[#This Row],[Response]]&lt;&gt;"", "", "Add"))</f>
        <v/>
      </c>
      <c r="G139" s="473" t="s">
        <v>100</v>
      </c>
      <c r="H139" s="473"/>
      <c r="I139" s="508"/>
    </row>
    <row r="140" spans="1:19" ht="14">
      <c r="A140" s="352" t="s">
        <v>1223</v>
      </c>
      <c r="B140" s="352"/>
      <c r="C140" s="352"/>
      <c r="D140" s="352" t="str">
        <f t="shared" si="3"/>
        <v>Yes</v>
      </c>
      <c r="E140" s="473" t="s">
        <v>24</v>
      </c>
      <c r="F140" s="473" t="str">
        <f>IF(OR(TBL_001_ProjectInfo[[#This Row],[Type]]="Heading", TBL_001_ProjectInfo[[#This Row],[Required?]]="No"), "", IF(TBL_001_ProjectInfo[[#This Row],[Response]]&lt;&gt;"", "", "Add"))</f>
        <v>Add</v>
      </c>
      <c r="G140" s="473" t="s">
        <v>100</v>
      </c>
      <c r="H140" s="473"/>
      <c r="I140" s="508"/>
    </row>
    <row r="141" spans="1:19" ht="14">
      <c r="A141" s="352" t="s">
        <v>1228</v>
      </c>
      <c r="B141" s="352" t="str">
        <f>IF($B$63&lt;&gt;"",$B$63, "")</f>
        <v>properties</v>
      </c>
      <c r="C141" s="352"/>
      <c r="D141" s="352" t="str">
        <f t="shared" si="3"/>
        <v>Yes</v>
      </c>
      <c r="E141" s="473" t="s">
        <v>24</v>
      </c>
      <c r="F141" s="473" t="str">
        <f>IF(OR(TBL_001_ProjectInfo[[#This Row],[Type]]="Heading", TBL_001_ProjectInfo[[#This Row],[Required?]]="No"), "", IF(TBL_001_ProjectInfo[[#This Row],[Response]]&lt;&gt;"", "", "Add"))</f>
        <v/>
      </c>
      <c r="G141" s="473" t="s">
        <v>100</v>
      </c>
      <c r="H141" s="473"/>
      <c r="I141" s="508"/>
    </row>
    <row r="142" spans="1:19" ht="14">
      <c r="A142" s="352" t="str">
        <f>CONCATENATE("Number of ", IF($B$141&lt;&gt;"", B141, "properties")," applicable to this lot")</f>
        <v>Number of properties applicable to this lot</v>
      </c>
      <c r="B142" s="352">
        <v>2200</v>
      </c>
      <c r="C142" s="352"/>
      <c r="D142" s="352" t="str">
        <f t="shared" si="3"/>
        <v>Yes</v>
      </c>
      <c r="E142" s="473" t="s">
        <v>24</v>
      </c>
      <c r="F142" s="473" t="str">
        <f>IF(OR(TBL_001_ProjectInfo[[#This Row],[Type]]="Heading", TBL_001_ProjectInfo[[#This Row],[Required?]]="No"), "", IF(TBL_001_ProjectInfo[[#This Row],[Response]]&lt;&gt;"", "", "Add"))</f>
        <v/>
      </c>
      <c r="G142" s="473" t="s">
        <v>100</v>
      </c>
      <c r="H142" s="473"/>
      <c r="I142" s="508"/>
    </row>
    <row r="143" spans="1:19" ht="14">
      <c r="A143" s="352" t="s">
        <v>147</v>
      </c>
      <c r="B143" s="352" t="s">
        <v>1244</v>
      </c>
      <c r="C143" s="352"/>
      <c r="D143" s="352" t="str">
        <f t="shared" si="3"/>
        <v>Yes</v>
      </c>
      <c r="E143" s="473" t="s">
        <v>24</v>
      </c>
      <c r="F143" s="473" t="str">
        <f>IF(OR(TBL_001_ProjectInfo[[#This Row],[Type]]="Heading", TBL_001_ProjectInfo[[#This Row],[Required?]]="No"), "", IF(TBL_001_ProjectInfo[[#This Row],[Response]]&lt;&gt;"", "", "Add"))</f>
        <v/>
      </c>
      <c r="G143" s="473" t="s">
        <v>100</v>
      </c>
      <c r="H143" s="473"/>
      <c r="I143" s="508"/>
    </row>
    <row r="144" spans="1:19" ht="14">
      <c r="A144" s="352" t="s">
        <v>761</v>
      </c>
      <c r="B144" s="350" t="s">
        <v>1248</v>
      </c>
      <c r="C144" s="352"/>
      <c r="D144" s="352" t="str">
        <f t="shared" si="3"/>
        <v>Yes</v>
      </c>
      <c r="E144" s="473" t="s">
        <v>24</v>
      </c>
      <c r="F144" s="473" t="str">
        <f>IF(OR(TBL_001_ProjectInfo[[#This Row],[Type]]="Heading", TBL_001_ProjectInfo[[#This Row],[Required?]]="No"), "", IF(TBL_001_ProjectInfo[[#This Row],[Response]]&lt;&gt;"", "", "Add"))</f>
        <v/>
      </c>
      <c r="G144" s="473" t="s">
        <v>100</v>
      </c>
      <c r="H144" s="473"/>
      <c r="I144" s="508"/>
    </row>
    <row r="145" spans="1:9" ht="14">
      <c r="A145" s="352" t="s">
        <v>170</v>
      </c>
      <c r="B145" s="350"/>
      <c r="C145" s="352"/>
      <c r="D145" s="352" t="str">
        <f>IF(OR(Lotted?="No", No_Lots?&lt;2, $B$144="Single figure", $B$144="N/A"), "No", "Yes")</f>
        <v>No</v>
      </c>
      <c r="E145" s="473" t="s">
        <v>24</v>
      </c>
      <c r="F145" s="349" t="str">
        <f>IF(OR(TBL_001_ProjectInfo[[#This Row],[Type]]="Heading", TBL_001_ProjectInfo[[#This Row],[Required?]]="No"), "", IF(TBL_001_ProjectInfo[[#This Row],[Response]]&lt;&gt;"", "", "Add"))</f>
        <v/>
      </c>
      <c r="G145" s="473" t="s">
        <v>100</v>
      </c>
      <c r="H145" s="473"/>
      <c r="I145" s="508"/>
    </row>
    <row r="146" spans="1:9" ht="14">
      <c r="A146" s="352" t="s">
        <v>169</v>
      </c>
      <c r="B146" s="350">
        <v>155000</v>
      </c>
      <c r="C146" s="352"/>
      <c r="D146" s="352" t="str">
        <f>IF(OR(Lotted?="No", No_Lots?&lt;2, $B$144="N/A"), "No", "Yes")</f>
        <v>Yes</v>
      </c>
      <c r="E146" s="473" t="s">
        <v>24</v>
      </c>
      <c r="F146" s="349" t="str">
        <f>IF(OR(TBL_001_ProjectInfo[[#This Row],[Type]]="Heading", TBL_001_ProjectInfo[[#This Row],[Required?]]="No"), "", IF(TBL_001_ProjectInfo[[#This Row],[Response]]&lt;&gt;"", "", "Add"))</f>
        <v/>
      </c>
      <c r="G146" s="473" t="s">
        <v>100</v>
      </c>
      <c r="H146" s="473"/>
      <c r="I146" s="508"/>
    </row>
    <row r="147" spans="1:9" ht="14">
      <c r="A147" s="352" t="str">
        <f>CONCATENATE(IF($B$18="Restricted Procedure", "Tender", "Initial tender"), " - Min. no. to invite for this lot?")</f>
        <v>Tender - Min. no. to invite for this lot?</v>
      </c>
      <c r="B147" s="352" t="str">
        <f>IF(TBL_001_ProjectInfo[[#This Row],[Required?]]="Yes", IF($B$92&lt;&gt;"", $B$92, ""), "")</f>
        <v/>
      </c>
      <c r="C147" s="352"/>
      <c r="D147" s="352" t="str">
        <f>IF(OR(Lotted?="No", No_Lots?&lt;2, $B$18="Open Procedure"), "No", "Yes")</f>
        <v>Yes</v>
      </c>
      <c r="E147" s="473" t="s">
        <v>24</v>
      </c>
      <c r="F147" s="473" t="str">
        <f>IF(OR(TBL_001_ProjectInfo[[#This Row],[Type]]="Heading", TBL_001_ProjectInfo[[#This Row],[Required?]]="No"), "", IF(TBL_001_ProjectInfo[[#This Row],[Response]]&lt;&gt;"", "", "Add"))</f>
        <v>Add</v>
      </c>
      <c r="G147" s="473" t="s">
        <v>100</v>
      </c>
      <c r="H147" s="473"/>
      <c r="I147" s="508"/>
    </row>
    <row r="148" spans="1:9" ht="14">
      <c r="A148" s="352" t="str">
        <f>CONCATENATE(IF($B$18="Restricted Procedure", "Tender", "Initial tender"), " - Max. no. to invite for this lot?")</f>
        <v>Tender - Max. no. to invite for this lot?</v>
      </c>
      <c r="B148" s="352" t="str">
        <f>IF(TBL_001_ProjectInfo[[#This Row],[Required?]]="Yes", IF($B$93&lt;&gt;"", $B$93, ""), "")</f>
        <v/>
      </c>
      <c r="C148" s="352"/>
      <c r="D148" s="352" t="str">
        <f>IF(OR(Lotted?="No", No_Lots?&lt;2, $B$18="Open Procedure"), "No", "Yes")</f>
        <v>Yes</v>
      </c>
      <c r="E148" s="473" t="s">
        <v>24</v>
      </c>
      <c r="F148" s="473" t="str">
        <f>IF(OR(TBL_001_ProjectInfo[[#This Row],[Type]]="Heading", TBL_001_ProjectInfo[[#This Row],[Required?]]="No"), "", IF(TBL_001_ProjectInfo[[#This Row],[Response]]&lt;&gt;"", "", "Add"))</f>
        <v>Add</v>
      </c>
      <c r="G148" s="473" t="s">
        <v>100</v>
      </c>
      <c r="H148" s="473"/>
      <c r="I148" s="508"/>
    </row>
    <row r="149" spans="1:9" ht="14">
      <c r="A149" s="352" t="str">
        <f>CONCATENATE(IF($B$18="Competitive Dialogue Procedure", "Dialogue", "Negotiations"), " - Min. no. to invite for this lot?")</f>
        <v>Negotiations - Min. no. to invite for this lot?</v>
      </c>
      <c r="B149" s="352" t="str">
        <f>IF(TBL_001_ProjectInfo[[#This Row],[Required?]]="Yes", IF($B$95&lt;&gt;"", $B$95, ""), "")</f>
        <v/>
      </c>
      <c r="C149" s="352"/>
      <c r="D149" s="352" t="str">
        <f>IF(OR(Lotted?="No", No_Lots?&lt;2, $B$18="Open Procedure", $B$18="Restricted Procedure"), "No", "Yes")</f>
        <v>No</v>
      </c>
      <c r="E149" s="473" t="s">
        <v>24</v>
      </c>
      <c r="F149" s="473" t="str">
        <f>IF(OR(TBL_001_ProjectInfo[[#This Row],[Type]]="Heading", TBL_001_ProjectInfo[[#This Row],[Required?]]="No"), "", IF(TBL_001_ProjectInfo[[#This Row],[Response]]&lt;&gt;"", "", "Add"))</f>
        <v/>
      </c>
      <c r="G149" s="473" t="s">
        <v>100</v>
      </c>
      <c r="H149" s="473"/>
      <c r="I149" s="508"/>
    </row>
    <row r="150" spans="1:9" ht="14">
      <c r="A150" s="352" t="str">
        <f>CONCATENATE(IF($B$18="Competitive Dialogue Procedure", "Dialogue", "Negotiations"), " - Max. no. to invite for this lot?")</f>
        <v>Negotiations - Max. no. to invite for this lot?</v>
      </c>
      <c r="B150" s="352" t="str">
        <f>IF(TBL_001_ProjectInfo[[#This Row],[Required?]]="Yes", IF($B$96&lt;&gt;"", $B$96, ""), "")</f>
        <v/>
      </c>
      <c r="C150" s="352"/>
      <c r="D150" s="352" t="str">
        <f>IF(OR(Lotted?="No", No_Lots?&lt;2, $B$18="Open Procedure", $B$18="Restricted Procedure"), "No", "Yes")</f>
        <v>No</v>
      </c>
      <c r="E150" s="473" t="s">
        <v>24</v>
      </c>
      <c r="F150" s="473" t="str">
        <f>IF(OR(TBL_001_ProjectInfo[[#This Row],[Type]]="Heading", TBL_001_ProjectInfo[[#This Row],[Required?]]="No"), "", IF(TBL_001_ProjectInfo[[#This Row],[Response]]&lt;&gt;"", "", "Add"))</f>
        <v/>
      </c>
      <c r="G150" s="473" t="s">
        <v>100</v>
      </c>
      <c r="H150" s="473"/>
      <c r="I150" s="508"/>
    </row>
    <row r="151" spans="1:9" ht="14">
      <c r="A151" s="352" t="s">
        <v>1226</v>
      </c>
      <c r="B151" s="352" t="str">
        <f>IF(TBL_001_ProjectInfo[[#This Row],[Required?]]="Yes", IF($B$98&lt;&gt;"", $B$98, ""), "")</f>
        <v/>
      </c>
      <c r="C151" s="352"/>
      <c r="D151" s="352" t="str">
        <f>IF(OR(Lotted?="No", No_Lots?&lt;2, $B$18="Open Procedure", $B$18="Restricted Procedure"), "No", "Yes")</f>
        <v>No</v>
      </c>
      <c r="E151" s="473" t="s">
        <v>24</v>
      </c>
      <c r="F151" s="473" t="str">
        <f>IF(OR(TBL_001_ProjectInfo[[#This Row],[Type]]="Heading", TBL_001_ProjectInfo[[#This Row],[Required?]]="No"), "", IF(TBL_001_ProjectInfo[[#This Row],[Response]]&lt;&gt;"", "", "Add"))</f>
        <v/>
      </c>
      <c r="G151" s="473" t="s">
        <v>100</v>
      </c>
      <c r="H151" s="473"/>
      <c r="I151" s="508"/>
    </row>
    <row r="152" spans="1:9" ht="14">
      <c r="A152" s="352" t="s">
        <v>1227</v>
      </c>
      <c r="B152" s="352" t="str">
        <f>IF(TBL_001_ProjectInfo[[#This Row],[Required?]]="Yes", IF($B$99&lt;&gt;"", $B$99, ""), "")</f>
        <v/>
      </c>
      <c r="C152" s="352"/>
      <c r="D152" s="352" t="str">
        <f>IF(OR(Lotted?="No", No_Lots?&lt;2, $B$18="Open Procedure", $B$18="Restricted Procedure"), "No", "Yes")</f>
        <v>No</v>
      </c>
      <c r="E152" s="473" t="s">
        <v>24</v>
      </c>
      <c r="F152" s="473" t="str">
        <f>IF(OR(TBL_001_ProjectInfo[[#This Row],[Type]]="Heading", TBL_001_ProjectInfo[[#This Row],[Required?]]="No"), "", IF(TBL_001_ProjectInfo[[#This Row],[Response]]&lt;&gt;"", "", "Add"))</f>
        <v/>
      </c>
      <c r="G152" s="473" t="s">
        <v>100</v>
      </c>
      <c r="H152" s="473"/>
      <c r="I152" s="508"/>
    </row>
    <row r="153" spans="1:9" ht="14">
      <c r="A153" s="352" t="s">
        <v>1224</v>
      </c>
      <c r="B153" s="352">
        <v>1</v>
      </c>
      <c r="C153" s="352"/>
      <c r="D153" s="352" t="str">
        <f>IF(OR(Lotted?="No", No_Lots?&lt;2), "No", "Yes")</f>
        <v>Yes</v>
      </c>
      <c r="E153" s="473" t="s">
        <v>24</v>
      </c>
      <c r="F153" s="473" t="str">
        <f>IF(OR(TBL_001_ProjectInfo[[#This Row],[Type]]="Heading", TBL_001_ProjectInfo[[#This Row],[Required?]]="No"), "", IF(TBL_001_ProjectInfo[[#This Row],[Response]]&lt;&gt;"", "", "Add"))</f>
        <v/>
      </c>
      <c r="G153" s="473" t="s">
        <v>100</v>
      </c>
      <c r="H153" s="473"/>
      <c r="I153" s="508"/>
    </row>
    <row r="154" spans="1:9" ht="14">
      <c r="A154" s="352" t="s">
        <v>1225</v>
      </c>
      <c r="B154" s="352">
        <v>1</v>
      </c>
      <c r="C154" s="352"/>
      <c r="D154" s="352" t="str">
        <f>IF(OR(Lotted?="No", No_Lots?&lt;2), "No", "Yes")</f>
        <v>Yes</v>
      </c>
      <c r="E154" s="473" t="s">
        <v>24</v>
      </c>
      <c r="F154" s="473" t="str">
        <f>IF(OR(TBL_001_ProjectInfo[[#This Row],[Type]]="Heading", TBL_001_ProjectInfo[[#This Row],[Required?]]="No"), "", IF(TBL_001_ProjectInfo[[#This Row],[Response]]&lt;&gt;"", "", "Add"))</f>
        <v/>
      </c>
      <c r="G154" s="473" t="s">
        <v>100</v>
      </c>
      <c r="H154" s="473"/>
      <c r="I154" s="508"/>
    </row>
    <row r="155" spans="1:9" ht="14">
      <c r="A155" s="352" t="s">
        <v>1201</v>
      </c>
      <c r="B155" s="352"/>
      <c r="C155" s="352"/>
      <c r="D155" s="352" t="str">
        <f t="shared" ref="D155:D161" si="4">IF(OR(Lotted?="No", No_Lots?&lt;3), "No", "Yes")</f>
        <v>Yes</v>
      </c>
      <c r="E155" s="473" t="s">
        <v>1197</v>
      </c>
      <c r="F155" s="473" t="str">
        <f>IF(OR(TBL_001_ProjectInfo[[#This Row],[Type]]="Heading", TBL_001_ProjectInfo[[#This Row],[Required?]]="No"), "", IF(TBL_001_ProjectInfo[[#This Row],[Response]]&lt;&gt;"", "", "Add"))</f>
        <v/>
      </c>
      <c r="G155" s="473"/>
      <c r="H155" s="473"/>
      <c r="I155" s="508"/>
    </row>
    <row r="156" spans="1:9" ht="14">
      <c r="A156" s="352" t="s">
        <v>1222</v>
      </c>
      <c r="B156" s="352" t="s">
        <v>1252</v>
      </c>
      <c r="C156" s="352"/>
      <c r="D156" s="352" t="str">
        <f t="shared" si="4"/>
        <v>Yes</v>
      </c>
      <c r="E156" s="473" t="s">
        <v>24</v>
      </c>
      <c r="F156" s="473" t="str">
        <f>IF(OR(TBL_001_ProjectInfo[[#This Row],[Type]]="Heading", TBL_001_ProjectInfo[[#This Row],[Required?]]="No"), "", IF(TBL_001_ProjectInfo[[#This Row],[Response]]&lt;&gt;"", "", "Add"))</f>
        <v/>
      </c>
      <c r="G156" s="473" t="s">
        <v>100</v>
      </c>
      <c r="H156" s="473"/>
      <c r="I156" s="508"/>
    </row>
    <row r="157" spans="1:9" ht="14">
      <c r="A157" s="352" t="s">
        <v>1223</v>
      </c>
      <c r="B157" s="352"/>
      <c r="C157" s="352"/>
      <c r="D157" s="352" t="str">
        <f t="shared" si="4"/>
        <v>Yes</v>
      </c>
      <c r="E157" s="473" t="s">
        <v>24</v>
      </c>
      <c r="F157" s="473" t="str">
        <f>IF(OR(TBL_001_ProjectInfo[[#This Row],[Type]]="Heading", TBL_001_ProjectInfo[[#This Row],[Required?]]="No"), "", IF(TBL_001_ProjectInfo[[#This Row],[Response]]&lt;&gt;"", "", "Add"))</f>
        <v>Add</v>
      </c>
      <c r="G157" s="473" t="s">
        <v>100</v>
      </c>
      <c r="H157" s="473"/>
      <c r="I157" s="508"/>
    </row>
    <row r="158" spans="1:9" ht="14">
      <c r="A158" s="352" t="s">
        <v>1228</v>
      </c>
      <c r="B158" s="352" t="str">
        <f>IF($B$63&lt;&gt;"",$B$63, "")</f>
        <v>properties</v>
      </c>
      <c r="C158" s="352"/>
      <c r="D158" s="352" t="str">
        <f t="shared" si="4"/>
        <v>Yes</v>
      </c>
      <c r="E158" s="473" t="s">
        <v>24</v>
      </c>
      <c r="F158" s="473" t="str">
        <f>IF(OR(TBL_001_ProjectInfo[[#This Row],[Type]]="Heading", TBL_001_ProjectInfo[[#This Row],[Required?]]="No"), "", IF(TBL_001_ProjectInfo[[#This Row],[Response]]&lt;&gt;"", "", "Add"))</f>
        <v/>
      </c>
      <c r="G158" s="473" t="s">
        <v>100</v>
      </c>
      <c r="H158" s="473"/>
      <c r="I158" s="508"/>
    </row>
    <row r="159" spans="1:9" ht="14">
      <c r="A159" s="352" t="str">
        <f>CONCATENATE("Number of ", IF($B$141&lt;&gt;"", B158, "properties")," applicable to this lot")</f>
        <v>Number of properties applicable to this lot</v>
      </c>
      <c r="B159" s="352">
        <v>2200</v>
      </c>
      <c r="C159" s="352"/>
      <c r="D159" s="352" t="str">
        <f t="shared" si="4"/>
        <v>Yes</v>
      </c>
      <c r="E159" s="473" t="s">
        <v>24</v>
      </c>
      <c r="F159" s="473" t="str">
        <f>IF(OR(TBL_001_ProjectInfo[[#This Row],[Type]]="Heading", TBL_001_ProjectInfo[[#This Row],[Required?]]="No"), "", IF(TBL_001_ProjectInfo[[#This Row],[Response]]&lt;&gt;"", "", "Add"))</f>
        <v/>
      </c>
      <c r="G159" s="473" t="s">
        <v>100</v>
      </c>
      <c r="H159" s="473"/>
      <c r="I159" s="508"/>
    </row>
    <row r="160" spans="1:9" ht="14">
      <c r="A160" s="352" t="s">
        <v>147</v>
      </c>
      <c r="B160" s="352" t="s">
        <v>1244</v>
      </c>
      <c r="C160" s="352"/>
      <c r="D160" s="352" t="str">
        <f t="shared" si="4"/>
        <v>Yes</v>
      </c>
      <c r="E160" s="473" t="s">
        <v>24</v>
      </c>
      <c r="F160" s="473" t="str">
        <f>IF(OR(TBL_001_ProjectInfo[[#This Row],[Type]]="Heading", TBL_001_ProjectInfo[[#This Row],[Required?]]="No"), "", IF(TBL_001_ProjectInfo[[#This Row],[Response]]&lt;&gt;"", "", "Add"))</f>
        <v/>
      </c>
      <c r="G160" s="473" t="s">
        <v>100</v>
      </c>
      <c r="H160" s="473"/>
      <c r="I160" s="508"/>
    </row>
    <row r="161" spans="1:9" ht="14">
      <c r="A161" s="352" t="s">
        <v>761</v>
      </c>
      <c r="B161" s="350" t="s">
        <v>1248</v>
      </c>
      <c r="C161" s="352"/>
      <c r="D161" s="352" t="str">
        <f t="shared" si="4"/>
        <v>Yes</v>
      </c>
      <c r="E161" s="473" t="s">
        <v>24</v>
      </c>
      <c r="F161" s="473" t="str">
        <f>IF(OR(TBL_001_ProjectInfo[[#This Row],[Type]]="Heading", TBL_001_ProjectInfo[[#This Row],[Required?]]="No"), "", IF(TBL_001_ProjectInfo[[#This Row],[Response]]&lt;&gt;"", "", "Add"))</f>
        <v/>
      </c>
      <c r="G161" s="473" t="s">
        <v>100</v>
      </c>
      <c r="H161" s="473"/>
      <c r="I161" s="508"/>
    </row>
    <row r="162" spans="1:9" ht="14">
      <c r="A162" s="352" t="s">
        <v>170</v>
      </c>
      <c r="B162" s="350"/>
      <c r="C162" s="352"/>
      <c r="D162" s="352" t="str">
        <f>IF(OR(Lotted?="No", No_Lots?&lt;3, $B$161="Single figure", $B$161="N/A"), "No", "Yes")</f>
        <v>No</v>
      </c>
      <c r="E162" s="473" t="s">
        <v>24</v>
      </c>
      <c r="F162" s="349" t="str">
        <f>IF(OR(TBL_001_ProjectInfo[[#This Row],[Type]]="Heading", TBL_001_ProjectInfo[[#This Row],[Required?]]="No"), "", IF(TBL_001_ProjectInfo[[#This Row],[Response]]&lt;&gt;"", "", "Add"))</f>
        <v/>
      </c>
      <c r="G162" s="473" t="s">
        <v>100</v>
      </c>
      <c r="H162" s="473"/>
      <c r="I162" s="508"/>
    </row>
    <row r="163" spans="1:9" ht="14">
      <c r="A163" s="352" t="s">
        <v>169</v>
      </c>
      <c r="B163" s="350">
        <v>100000</v>
      </c>
      <c r="C163" s="352"/>
      <c r="D163" s="352" t="str">
        <f>IF(OR(Lotted?="No", No_Lots?&lt;3, $B$161="N/A"), "No", "Yes")</f>
        <v>Yes</v>
      </c>
      <c r="E163" s="473" t="s">
        <v>24</v>
      </c>
      <c r="F163" s="349" t="str">
        <f>IF(OR(TBL_001_ProjectInfo[[#This Row],[Type]]="Heading", TBL_001_ProjectInfo[[#This Row],[Required?]]="No"), "", IF(TBL_001_ProjectInfo[[#This Row],[Response]]&lt;&gt;"", "", "Add"))</f>
        <v/>
      </c>
      <c r="G163" s="473" t="s">
        <v>100</v>
      </c>
      <c r="H163" s="473"/>
      <c r="I163" s="508"/>
    </row>
    <row r="164" spans="1:9" ht="14">
      <c r="A164" s="352" t="str">
        <f>CONCATENATE(IF($B$18="Restricted Procedure", "Tender", "Initial tender"), " - Min. no. to invite for this lot?")</f>
        <v>Tender - Min. no. to invite for this lot?</v>
      </c>
      <c r="B164" s="352" t="str">
        <f>IF(TBL_001_ProjectInfo[[#This Row],[Required?]]="Yes", IF($B$92&lt;&gt;"", $B$92, ""), "")</f>
        <v/>
      </c>
      <c r="C164" s="352"/>
      <c r="D164" s="352" t="str">
        <f>IF(OR(Lotted?="No", No_Lots?&lt;3, $B$18="Open Procedure"), "No", "Yes")</f>
        <v>Yes</v>
      </c>
      <c r="E164" s="473" t="s">
        <v>24</v>
      </c>
      <c r="F164" s="473" t="str">
        <f>IF(OR(TBL_001_ProjectInfo[[#This Row],[Type]]="Heading", TBL_001_ProjectInfo[[#This Row],[Required?]]="No"), "", IF(TBL_001_ProjectInfo[[#This Row],[Response]]&lt;&gt;"", "", "Add"))</f>
        <v>Add</v>
      </c>
      <c r="G164" s="473" t="s">
        <v>100</v>
      </c>
      <c r="H164" s="473"/>
      <c r="I164" s="508"/>
    </row>
    <row r="165" spans="1:9" ht="14">
      <c r="A165" s="352" t="str">
        <f>CONCATENATE(IF($B$18="Restricted Procedure", "Tender", "Initial tender"), " - Max. no. to invite for this lot?")</f>
        <v>Tender - Max. no. to invite for this lot?</v>
      </c>
      <c r="B165" s="352" t="str">
        <f>IF(TBL_001_ProjectInfo[[#This Row],[Required?]]="Yes", IF($B$93&lt;&gt;"", $B$93, ""), "")</f>
        <v/>
      </c>
      <c r="C165" s="352"/>
      <c r="D165" s="352" t="str">
        <f>IF(OR(Lotted?="No", No_Lots?&lt;3, $B$18="Open Procedure"), "No", "Yes")</f>
        <v>Yes</v>
      </c>
      <c r="E165" s="473" t="s">
        <v>24</v>
      </c>
      <c r="F165" s="473" t="str">
        <f>IF(OR(TBL_001_ProjectInfo[[#This Row],[Type]]="Heading", TBL_001_ProjectInfo[[#This Row],[Required?]]="No"), "", IF(TBL_001_ProjectInfo[[#This Row],[Response]]&lt;&gt;"", "", "Add"))</f>
        <v>Add</v>
      </c>
      <c r="G165" s="473" t="s">
        <v>100</v>
      </c>
      <c r="H165" s="473"/>
      <c r="I165" s="508"/>
    </row>
    <row r="166" spans="1:9" ht="14">
      <c r="A166" s="352" t="str">
        <f>CONCATENATE(IF($B$18="Competitive Dialogue Procedure", "Dialogue", "Negotiations"), " - Min. no. to invite for this lot?")</f>
        <v>Negotiations - Min. no. to invite for this lot?</v>
      </c>
      <c r="B166" s="352" t="str">
        <f>IF(TBL_001_ProjectInfo[[#This Row],[Required?]]="Yes", IF($B$95&lt;&gt;"", $B$95, ""), "")</f>
        <v/>
      </c>
      <c r="C166" s="352"/>
      <c r="D166" s="352" t="str">
        <f>IF(OR(Lotted?="No", No_Lots?&lt;3, $B$18="Open Procedure", $B$18="Restricted Procedure"), "No", "Yes")</f>
        <v>No</v>
      </c>
      <c r="E166" s="473" t="s">
        <v>24</v>
      </c>
      <c r="F166" s="473" t="str">
        <f>IF(OR(TBL_001_ProjectInfo[[#This Row],[Type]]="Heading", TBL_001_ProjectInfo[[#This Row],[Required?]]="No"), "", IF(TBL_001_ProjectInfo[[#This Row],[Response]]&lt;&gt;"", "", "Add"))</f>
        <v/>
      </c>
      <c r="G166" s="473" t="s">
        <v>100</v>
      </c>
      <c r="H166" s="473"/>
      <c r="I166" s="508"/>
    </row>
    <row r="167" spans="1:9" ht="14">
      <c r="A167" s="352" t="str">
        <f>CONCATENATE(IF($B$18="Competitive Dialogue Procedure", "Dialogue", "Negotiations"), " - Max. no. to invite for this lot?")</f>
        <v>Negotiations - Max. no. to invite for this lot?</v>
      </c>
      <c r="B167" s="352" t="str">
        <f>IF(TBL_001_ProjectInfo[[#This Row],[Required?]]="Yes", IF($B$96&lt;&gt;"", $B$96, ""), "")</f>
        <v/>
      </c>
      <c r="C167" s="352"/>
      <c r="D167" s="352" t="str">
        <f>IF(OR(Lotted?="No", No_Lots?&lt;3, $B$18="Open Procedure", $B$18="Restricted Procedure"), "No", "Yes")</f>
        <v>No</v>
      </c>
      <c r="E167" s="473" t="s">
        <v>24</v>
      </c>
      <c r="F167" s="473" t="str">
        <f>IF(OR(TBL_001_ProjectInfo[[#This Row],[Type]]="Heading", TBL_001_ProjectInfo[[#This Row],[Required?]]="No"), "", IF(TBL_001_ProjectInfo[[#This Row],[Response]]&lt;&gt;"", "", "Add"))</f>
        <v/>
      </c>
      <c r="G167" s="473" t="s">
        <v>100</v>
      </c>
      <c r="H167" s="473"/>
      <c r="I167" s="508"/>
    </row>
    <row r="168" spans="1:9" ht="14">
      <c r="A168" s="352" t="s">
        <v>1226</v>
      </c>
      <c r="B168" s="352" t="str">
        <f>IF(TBL_001_ProjectInfo[[#This Row],[Required?]]="Yes", IF($B$98&lt;&gt;"", $B$98, ""), "")</f>
        <v/>
      </c>
      <c r="C168" s="352"/>
      <c r="D168" s="352" t="str">
        <f>IF(OR(Lotted?="No", No_Lots?&lt;3, $B$18="Open Procedure", $B$18="Restricted Procedure"), "No", "Yes")</f>
        <v>No</v>
      </c>
      <c r="E168" s="473" t="s">
        <v>24</v>
      </c>
      <c r="F168" s="473" t="str">
        <f>IF(OR(TBL_001_ProjectInfo[[#This Row],[Type]]="Heading", TBL_001_ProjectInfo[[#This Row],[Required?]]="No"), "", IF(TBL_001_ProjectInfo[[#This Row],[Response]]&lt;&gt;"", "", "Add"))</f>
        <v/>
      </c>
      <c r="G168" s="473" t="s">
        <v>100</v>
      </c>
      <c r="H168" s="473"/>
      <c r="I168" s="508"/>
    </row>
    <row r="169" spans="1:9" ht="14">
      <c r="A169" s="352" t="s">
        <v>1227</v>
      </c>
      <c r="B169" s="352" t="str">
        <f>IF(TBL_001_ProjectInfo[[#This Row],[Required?]]="Yes", IF($B$99&lt;&gt;"", $B$99, ""), "")</f>
        <v/>
      </c>
      <c r="C169" s="352"/>
      <c r="D169" s="352" t="str">
        <f>IF(OR(Lotted?="No", No_Lots?&lt;3, $B$18="Open Procedure", $B$18="Restricted Procedure"), "No", "Yes")</f>
        <v>No</v>
      </c>
      <c r="E169" s="473" t="s">
        <v>24</v>
      </c>
      <c r="F169" s="473" t="str">
        <f>IF(OR(TBL_001_ProjectInfo[[#This Row],[Type]]="Heading", TBL_001_ProjectInfo[[#This Row],[Required?]]="No"), "", IF(TBL_001_ProjectInfo[[#This Row],[Response]]&lt;&gt;"", "", "Add"))</f>
        <v/>
      </c>
      <c r="G169" s="473" t="s">
        <v>100</v>
      </c>
      <c r="H169" s="473"/>
      <c r="I169" s="508"/>
    </row>
    <row r="170" spans="1:9" ht="14">
      <c r="A170" s="352" t="s">
        <v>1224</v>
      </c>
      <c r="B170" s="352">
        <v>1</v>
      </c>
      <c r="C170" s="352"/>
      <c r="D170" s="352" t="str">
        <f>IF(OR(Lotted?="No", No_Lots?&lt;3), "No", "Yes")</f>
        <v>Yes</v>
      </c>
      <c r="E170" s="473" t="s">
        <v>24</v>
      </c>
      <c r="F170" s="473" t="str">
        <f>IF(OR(TBL_001_ProjectInfo[[#This Row],[Type]]="Heading", TBL_001_ProjectInfo[[#This Row],[Required?]]="No"), "", IF(TBL_001_ProjectInfo[[#This Row],[Response]]&lt;&gt;"", "", "Add"))</f>
        <v/>
      </c>
      <c r="G170" s="473" t="s">
        <v>100</v>
      </c>
      <c r="H170" s="473"/>
      <c r="I170" s="508"/>
    </row>
    <row r="171" spans="1:9" ht="14">
      <c r="A171" s="352" t="s">
        <v>1225</v>
      </c>
      <c r="B171" s="352">
        <v>1</v>
      </c>
      <c r="C171" s="352"/>
      <c r="D171" s="352" t="str">
        <f>IF(OR(Lotted?="No", No_Lots?&lt;3), "No", "Yes")</f>
        <v>Yes</v>
      </c>
      <c r="E171" s="473" t="s">
        <v>24</v>
      </c>
      <c r="F171" s="473" t="str">
        <f>IF(OR(TBL_001_ProjectInfo[[#This Row],[Type]]="Heading", TBL_001_ProjectInfo[[#This Row],[Required?]]="No"), "", IF(TBL_001_ProjectInfo[[#This Row],[Response]]&lt;&gt;"", "", "Add"))</f>
        <v/>
      </c>
      <c r="G171" s="473" t="s">
        <v>100</v>
      </c>
      <c r="H171" s="473"/>
      <c r="I171" s="508"/>
    </row>
    <row r="172" spans="1:9" ht="14">
      <c r="A172" s="352" t="s">
        <v>1202</v>
      </c>
      <c r="B172" s="352"/>
      <c r="C172" s="352"/>
      <c r="D172" s="352" t="str">
        <f t="shared" ref="D172:D178" si="5">IF(OR(Lotted?="No", No_Lots?&lt;4), "No", "Yes")</f>
        <v>Yes</v>
      </c>
      <c r="E172" s="473" t="s">
        <v>1197</v>
      </c>
      <c r="F172" s="473" t="str">
        <f>IF(OR(TBL_001_ProjectInfo[[#This Row],[Type]]="Heading", TBL_001_ProjectInfo[[#This Row],[Required?]]="No"), "", IF(TBL_001_ProjectInfo[[#This Row],[Response]]&lt;&gt;"", "", "Add"))</f>
        <v/>
      </c>
      <c r="G172" s="473"/>
      <c r="H172" s="473"/>
      <c r="I172" s="508"/>
    </row>
    <row r="173" spans="1:9" ht="14">
      <c r="A173" s="352" t="s">
        <v>1222</v>
      </c>
      <c r="B173" s="352" t="s">
        <v>1253</v>
      </c>
      <c r="C173" s="352"/>
      <c r="D173" s="352" t="str">
        <f t="shared" si="5"/>
        <v>Yes</v>
      </c>
      <c r="E173" s="473" t="s">
        <v>24</v>
      </c>
      <c r="F173" s="473" t="str">
        <f>IF(OR(TBL_001_ProjectInfo[[#This Row],[Type]]="Heading", TBL_001_ProjectInfo[[#This Row],[Required?]]="No"), "", IF(TBL_001_ProjectInfo[[#This Row],[Response]]&lt;&gt;"", "", "Add"))</f>
        <v/>
      </c>
      <c r="G173" s="473" t="s">
        <v>100</v>
      </c>
      <c r="H173" s="473"/>
      <c r="I173" s="508"/>
    </row>
    <row r="174" spans="1:9" ht="14">
      <c r="A174" s="352" t="s">
        <v>1223</v>
      </c>
      <c r="B174" s="352"/>
      <c r="C174" s="352"/>
      <c r="D174" s="352" t="str">
        <f t="shared" si="5"/>
        <v>Yes</v>
      </c>
      <c r="E174" s="473" t="s">
        <v>24</v>
      </c>
      <c r="F174" s="473" t="str">
        <f>IF(OR(TBL_001_ProjectInfo[[#This Row],[Type]]="Heading", TBL_001_ProjectInfo[[#This Row],[Required?]]="No"), "", IF(TBL_001_ProjectInfo[[#This Row],[Response]]&lt;&gt;"", "", "Add"))</f>
        <v>Add</v>
      </c>
      <c r="G174" s="473" t="s">
        <v>100</v>
      </c>
      <c r="H174" s="473"/>
      <c r="I174" s="508"/>
    </row>
    <row r="175" spans="1:9" ht="14">
      <c r="A175" s="352" t="s">
        <v>1228</v>
      </c>
      <c r="B175" s="352" t="str">
        <f>IF($B$63&lt;&gt;"",$B$63, "")</f>
        <v>properties</v>
      </c>
      <c r="C175" s="352"/>
      <c r="D175" s="352" t="str">
        <f t="shared" si="5"/>
        <v>Yes</v>
      </c>
      <c r="E175" s="473" t="s">
        <v>24</v>
      </c>
      <c r="F175" s="473" t="str">
        <f>IF(OR(TBL_001_ProjectInfo[[#This Row],[Type]]="Heading", TBL_001_ProjectInfo[[#This Row],[Required?]]="No"), "", IF(TBL_001_ProjectInfo[[#This Row],[Response]]&lt;&gt;"", "", "Add"))</f>
        <v/>
      </c>
      <c r="G175" s="473" t="s">
        <v>100</v>
      </c>
      <c r="H175" s="473"/>
      <c r="I175" s="508"/>
    </row>
    <row r="176" spans="1:9" ht="14">
      <c r="A176" s="352" t="str">
        <f>CONCATENATE("Number of ", IF($B$141&lt;&gt;"", B175, "properties")," applicable to this lot")</f>
        <v>Number of properties applicable to this lot</v>
      </c>
      <c r="B176" s="352">
        <v>2200</v>
      </c>
      <c r="C176" s="352"/>
      <c r="D176" s="352" t="str">
        <f t="shared" si="5"/>
        <v>Yes</v>
      </c>
      <c r="E176" s="473" t="s">
        <v>24</v>
      </c>
      <c r="F176" s="473" t="str">
        <f>IF(OR(TBL_001_ProjectInfo[[#This Row],[Type]]="Heading", TBL_001_ProjectInfo[[#This Row],[Required?]]="No"), "", IF(TBL_001_ProjectInfo[[#This Row],[Response]]&lt;&gt;"", "", "Add"))</f>
        <v/>
      </c>
      <c r="G176" s="473" t="s">
        <v>100</v>
      </c>
      <c r="H176" s="473"/>
      <c r="I176" s="508"/>
    </row>
    <row r="177" spans="1:9" ht="14">
      <c r="A177" s="352" t="s">
        <v>147</v>
      </c>
      <c r="B177" s="352" t="s">
        <v>1244</v>
      </c>
      <c r="C177" s="352"/>
      <c r="D177" s="352" t="str">
        <f t="shared" si="5"/>
        <v>Yes</v>
      </c>
      <c r="E177" s="473" t="s">
        <v>24</v>
      </c>
      <c r="F177" s="473" t="str">
        <f>IF(OR(TBL_001_ProjectInfo[[#This Row],[Type]]="Heading", TBL_001_ProjectInfo[[#This Row],[Required?]]="No"), "", IF(TBL_001_ProjectInfo[[#This Row],[Response]]&lt;&gt;"", "", "Add"))</f>
        <v/>
      </c>
      <c r="G177" s="473" t="s">
        <v>100</v>
      </c>
      <c r="H177" s="473"/>
      <c r="I177" s="508"/>
    </row>
    <row r="178" spans="1:9" ht="14">
      <c r="A178" s="352" t="s">
        <v>761</v>
      </c>
      <c r="B178" s="350" t="s">
        <v>1248</v>
      </c>
      <c r="C178" s="352"/>
      <c r="D178" s="352" t="str">
        <f t="shared" si="5"/>
        <v>Yes</v>
      </c>
      <c r="E178" s="473" t="s">
        <v>24</v>
      </c>
      <c r="F178" s="473" t="str">
        <f>IF(OR(TBL_001_ProjectInfo[[#This Row],[Type]]="Heading", TBL_001_ProjectInfo[[#This Row],[Required?]]="No"), "", IF(TBL_001_ProjectInfo[[#This Row],[Response]]&lt;&gt;"", "", "Add"))</f>
        <v/>
      </c>
      <c r="G178" s="473" t="s">
        <v>100</v>
      </c>
      <c r="H178" s="473"/>
      <c r="I178" s="508"/>
    </row>
    <row r="179" spans="1:9" ht="14">
      <c r="A179" s="352" t="s">
        <v>170</v>
      </c>
      <c r="B179" s="350"/>
      <c r="C179" s="352"/>
      <c r="D179" s="352" t="str">
        <f>IF(OR(Lotted?="No", No_Lots?&lt;4, $B$178="Single figure", $B$178="N/A"), "No", "Yes")</f>
        <v>No</v>
      </c>
      <c r="E179" s="473" t="s">
        <v>24</v>
      </c>
      <c r="F179" s="349" t="str">
        <f>IF(OR(TBL_001_ProjectInfo[[#This Row],[Type]]="Heading", TBL_001_ProjectInfo[[#This Row],[Required?]]="No"), "", IF(TBL_001_ProjectInfo[[#This Row],[Response]]&lt;&gt;"", "", "Add"))</f>
        <v/>
      </c>
      <c r="G179" s="473" t="s">
        <v>100</v>
      </c>
      <c r="H179" s="473"/>
      <c r="I179" s="508"/>
    </row>
    <row r="180" spans="1:9" ht="14">
      <c r="A180" s="352" t="s">
        <v>169</v>
      </c>
      <c r="B180" s="350">
        <v>30000</v>
      </c>
      <c r="C180" s="352"/>
      <c r="D180" s="352" t="str">
        <f>IF(OR(Lotted?="No", No_Lots?&lt;4, $B$178="N/A"), "No", "Yes")</f>
        <v>Yes</v>
      </c>
      <c r="E180" s="473" t="s">
        <v>24</v>
      </c>
      <c r="F180" s="349" t="str">
        <f>IF(OR(TBL_001_ProjectInfo[[#This Row],[Type]]="Heading", TBL_001_ProjectInfo[[#This Row],[Required?]]="No"), "", IF(TBL_001_ProjectInfo[[#This Row],[Response]]&lt;&gt;"", "", "Add"))</f>
        <v/>
      </c>
      <c r="G180" s="473" t="s">
        <v>100</v>
      </c>
      <c r="H180" s="473"/>
      <c r="I180" s="508"/>
    </row>
    <row r="181" spans="1:9" ht="14">
      <c r="A181" s="352" t="str">
        <f>CONCATENATE(IF($B$18="Restricted Procedure", "Tender", "Initial tender"), " - Min. no. to invite for this lot?")</f>
        <v>Tender - Min. no. to invite for this lot?</v>
      </c>
      <c r="B181" s="352" t="str">
        <f>IF(TBL_001_ProjectInfo[[#This Row],[Required?]]="Yes", IF($B$92&lt;&gt;"", $B$92, ""), "")</f>
        <v/>
      </c>
      <c r="C181" s="352"/>
      <c r="D181" s="352" t="str">
        <f>IF(OR(Lotted?="No", No_Lots?&lt;4, $B$18="Open Procedure"), "No", "Yes")</f>
        <v>Yes</v>
      </c>
      <c r="E181" s="473" t="s">
        <v>24</v>
      </c>
      <c r="F181" s="473" t="str">
        <f>IF(OR(TBL_001_ProjectInfo[[#This Row],[Type]]="Heading", TBL_001_ProjectInfo[[#This Row],[Required?]]="No"), "", IF(TBL_001_ProjectInfo[[#This Row],[Response]]&lt;&gt;"", "", "Add"))</f>
        <v>Add</v>
      </c>
      <c r="G181" s="473" t="s">
        <v>100</v>
      </c>
      <c r="H181" s="473"/>
      <c r="I181" s="508"/>
    </row>
    <row r="182" spans="1:9" ht="14">
      <c r="A182" s="352" t="str">
        <f>CONCATENATE(IF($B$18="Restricted Procedure", "Tender", "Initial tender"), " - Max. no. to invite for this lot?")</f>
        <v>Tender - Max. no. to invite for this lot?</v>
      </c>
      <c r="B182" s="352" t="str">
        <f>IF(TBL_001_ProjectInfo[[#This Row],[Required?]]="Yes", IF($B$93&lt;&gt;"", $B$93, ""), "")</f>
        <v/>
      </c>
      <c r="C182" s="352"/>
      <c r="D182" s="352" t="str">
        <f>IF(OR(Lotted?="No", No_Lots?&lt;4, $B$18="Open Procedure"), "No", "Yes")</f>
        <v>Yes</v>
      </c>
      <c r="E182" s="473" t="s">
        <v>24</v>
      </c>
      <c r="F182" s="473" t="str">
        <f>IF(OR(TBL_001_ProjectInfo[[#This Row],[Type]]="Heading", TBL_001_ProjectInfo[[#This Row],[Required?]]="No"), "", IF(TBL_001_ProjectInfo[[#This Row],[Response]]&lt;&gt;"", "", "Add"))</f>
        <v>Add</v>
      </c>
      <c r="G182" s="473" t="s">
        <v>100</v>
      </c>
      <c r="H182" s="473"/>
      <c r="I182" s="508"/>
    </row>
    <row r="183" spans="1:9" ht="14">
      <c r="A183" s="352" t="str">
        <f>CONCATENATE(IF($B$18="Competitive Dialogue Procedure", "Dialogue", "Negotiations"), " - Min. no. to invite for this lot?")</f>
        <v>Negotiations - Min. no. to invite for this lot?</v>
      </c>
      <c r="B183" s="352" t="str">
        <f>IF(TBL_001_ProjectInfo[[#This Row],[Required?]]="Yes", IF($B$95&lt;&gt;"", $B$95, ""), "")</f>
        <v/>
      </c>
      <c r="C183" s="352"/>
      <c r="D183" s="352" t="str">
        <f>IF(OR(Lotted?="No", No_Lots?&lt;4, $B$18="Open Procedure", $B$18="Restricted Procedure"), "No", "Yes")</f>
        <v>No</v>
      </c>
      <c r="E183" s="473" t="s">
        <v>24</v>
      </c>
      <c r="F183" s="473" t="str">
        <f>IF(OR(TBL_001_ProjectInfo[[#This Row],[Type]]="Heading", TBL_001_ProjectInfo[[#This Row],[Required?]]="No"), "", IF(TBL_001_ProjectInfo[[#This Row],[Response]]&lt;&gt;"", "", "Add"))</f>
        <v/>
      </c>
      <c r="G183" s="473" t="s">
        <v>100</v>
      </c>
      <c r="H183" s="473"/>
      <c r="I183" s="508"/>
    </row>
    <row r="184" spans="1:9" ht="14">
      <c r="A184" s="352" t="str">
        <f>CONCATENATE(IF($B$18="Competitive Dialogue Procedure", "Dialogue", "Negotiations"), " - Max. no. to invite for this lot?")</f>
        <v>Negotiations - Max. no. to invite for this lot?</v>
      </c>
      <c r="B184" s="352" t="str">
        <f>IF(TBL_001_ProjectInfo[[#This Row],[Required?]]="Yes", IF($B$96&lt;&gt;"", $B$96, ""), "")</f>
        <v/>
      </c>
      <c r="C184" s="352"/>
      <c r="D184" s="352" t="str">
        <f>IF(OR(Lotted?="No", No_Lots?&lt;4, $B$18="Open Procedure", $B$18="Restricted Procedure"), "No", "Yes")</f>
        <v>No</v>
      </c>
      <c r="E184" s="473" t="s">
        <v>24</v>
      </c>
      <c r="F184" s="473" t="str">
        <f>IF(OR(TBL_001_ProjectInfo[[#This Row],[Type]]="Heading", TBL_001_ProjectInfo[[#This Row],[Required?]]="No"), "", IF(TBL_001_ProjectInfo[[#This Row],[Response]]&lt;&gt;"", "", "Add"))</f>
        <v/>
      </c>
      <c r="G184" s="473" t="s">
        <v>100</v>
      </c>
      <c r="H184" s="473"/>
      <c r="I184" s="508"/>
    </row>
    <row r="185" spans="1:9" ht="14">
      <c r="A185" s="352" t="s">
        <v>1226</v>
      </c>
      <c r="B185" s="352" t="str">
        <f>IF(TBL_001_ProjectInfo[[#This Row],[Required?]]="Yes", IF($B$98&lt;&gt;"", $B$98, ""), "")</f>
        <v/>
      </c>
      <c r="C185" s="352"/>
      <c r="D185" s="352" t="str">
        <f>IF(OR(Lotted?="No", No_Lots?&lt;4, $B$18="Open Procedure", $B$18="Restricted Procedure"), "No", "Yes")</f>
        <v>No</v>
      </c>
      <c r="E185" s="473" t="s">
        <v>24</v>
      </c>
      <c r="F185" s="473" t="str">
        <f>IF(OR(TBL_001_ProjectInfo[[#This Row],[Type]]="Heading", TBL_001_ProjectInfo[[#This Row],[Required?]]="No"), "", IF(TBL_001_ProjectInfo[[#This Row],[Response]]&lt;&gt;"", "", "Add"))</f>
        <v/>
      </c>
      <c r="G185" s="473" t="s">
        <v>100</v>
      </c>
      <c r="H185" s="473"/>
      <c r="I185" s="508"/>
    </row>
    <row r="186" spans="1:9" ht="14">
      <c r="A186" s="352" t="s">
        <v>1227</v>
      </c>
      <c r="B186" s="352" t="str">
        <f>IF(TBL_001_ProjectInfo[[#This Row],[Required?]]="Yes", IF($B$99&lt;&gt;"", $B$99, ""), "")</f>
        <v/>
      </c>
      <c r="C186" s="352"/>
      <c r="D186" s="352" t="str">
        <f>IF(OR(Lotted?="No", No_Lots?&lt;4, $B$18="Open Procedure", $B$18="Restricted Procedure"), "No", "Yes")</f>
        <v>No</v>
      </c>
      <c r="E186" s="473" t="s">
        <v>24</v>
      </c>
      <c r="F186" s="473" t="str">
        <f>IF(OR(TBL_001_ProjectInfo[[#This Row],[Type]]="Heading", TBL_001_ProjectInfo[[#This Row],[Required?]]="No"), "", IF(TBL_001_ProjectInfo[[#This Row],[Response]]&lt;&gt;"", "", "Add"))</f>
        <v/>
      </c>
      <c r="G186" s="473" t="s">
        <v>100</v>
      </c>
      <c r="H186" s="473"/>
      <c r="I186" s="508"/>
    </row>
    <row r="187" spans="1:9" ht="14">
      <c r="A187" s="352" t="s">
        <v>1224</v>
      </c>
      <c r="B187" s="352">
        <v>1</v>
      </c>
      <c r="C187" s="352"/>
      <c r="D187" s="352" t="str">
        <f>IF(OR(Lotted?="No", No_Lots?&lt;4), "No", "Yes")</f>
        <v>Yes</v>
      </c>
      <c r="E187" s="473" t="s">
        <v>24</v>
      </c>
      <c r="F187" s="473" t="str">
        <f>IF(OR(TBL_001_ProjectInfo[[#This Row],[Type]]="Heading", TBL_001_ProjectInfo[[#This Row],[Required?]]="No"), "", IF(TBL_001_ProjectInfo[[#This Row],[Response]]&lt;&gt;"", "", "Add"))</f>
        <v/>
      </c>
      <c r="G187" s="473" t="s">
        <v>100</v>
      </c>
      <c r="H187" s="473"/>
      <c r="I187" s="508"/>
    </row>
    <row r="188" spans="1:9" ht="14">
      <c r="A188" s="352" t="s">
        <v>1225</v>
      </c>
      <c r="B188" s="352">
        <v>1</v>
      </c>
      <c r="C188" s="352"/>
      <c r="D188" s="352" t="str">
        <f>IF(OR(Lotted?="No", No_Lots?&lt;4), "No", "Yes")</f>
        <v>Yes</v>
      </c>
      <c r="E188" s="473" t="s">
        <v>24</v>
      </c>
      <c r="F188" s="473" t="str">
        <f>IF(OR(TBL_001_ProjectInfo[[#This Row],[Type]]="Heading", TBL_001_ProjectInfo[[#This Row],[Required?]]="No"), "", IF(TBL_001_ProjectInfo[[#This Row],[Response]]&lt;&gt;"", "", "Add"))</f>
        <v/>
      </c>
      <c r="G188" s="473" t="s">
        <v>100</v>
      </c>
      <c r="H188" s="473"/>
      <c r="I188" s="508"/>
    </row>
    <row r="189" spans="1:9" ht="14">
      <c r="A189" s="352" t="s">
        <v>1203</v>
      </c>
      <c r="B189" s="352"/>
      <c r="C189" s="352"/>
      <c r="D189" s="352" t="str">
        <f t="shared" ref="D189:D195" si="6">IF(OR(Lotted?="No", No_Lots?&lt;5), "No", "Yes")</f>
        <v>Yes</v>
      </c>
      <c r="E189" s="473" t="s">
        <v>1197</v>
      </c>
      <c r="F189" s="473" t="str">
        <f>IF(OR(TBL_001_ProjectInfo[[#This Row],[Type]]="Heading", TBL_001_ProjectInfo[[#This Row],[Required?]]="No"), "", IF(TBL_001_ProjectInfo[[#This Row],[Response]]&lt;&gt;"", "", "Add"))</f>
        <v/>
      </c>
      <c r="G189" s="473"/>
      <c r="H189" s="473"/>
      <c r="I189" s="508"/>
    </row>
    <row r="190" spans="1:9" ht="14">
      <c r="A190" s="352" t="s">
        <v>1222</v>
      </c>
      <c r="B190" s="352" t="s">
        <v>1254</v>
      </c>
      <c r="C190" s="352"/>
      <c r="D190" s="352" t="str">
        <f t="shared" si="6"/>
        <v>Yes</v>
      </c>
      <c r="E190" s="473" t="s">
        <v>24</v>
      </c>
      <c r="F190" s="473" t="str">
        <f>IF(OR(TBL_001_ProjectInfo[[#This Row],[Type]]="Heading", TBL_001_ProjectInfo[[#This Row],[Required?]]="No"), "", IF(TBL_001_ProjectInfo[[#This Row],[Response]]&lt;&gt;"", "", "Add"))</f>
        <v/>
      </c>
      <c r="G190" s="473" t="s">
        <v>100</v>
      </c>
      <c r="H190" s="473"/>
      <c r="I190" s="508"/>
    </row>
    <row r="191" spans="1:9" ht="14">
      <c r="A191" s="352" t="s">
        <v>1223</v>
      </c>
      <c r="B191" s="352"/>
      <c r="C191" s="352"/>
      <c r="D191" s="352" t="str">
        <f t="shared" si="6"/>
        <v>Yes</v>
      </c>
      <c r="E191" s="473" t="s">
        <v>24</v>
      </c>
      <c r="F191" s="473" t="str">
        <f>IF(OR(TBL_001_ProjectInfo[[#This Row],[Type]]="Heading", TBL_001_ProjectInfo[[#This Row],[Required?]]="No"), "", IF(TBL_001_ProjectInfo[[#This Row],[Response]]&lt;&gt;"", "", "Add"))</f>
        <v>Add</v>
      </c>
      <c r="G191" s="473" t="s">
        <v>100</v>
      </c>
      <c r="H191" s="473"/>
      <c r="I191" s="508"/>
    </row>
    <row r="192" spans="1:9" ht="14">
      <c r="A192" s="352" t="s">
        <v>1228</v>
      </c>
      <c r="B192" s="352" t="str">
        <f>IF($B$63&lt;&gt;"",$B$63, "")</f>
        <v>properties</v>
      </c>
      <c r="C192" s="352"/>
      <c r="D192" s="352" t="str">
        <f t="shared" si="6"/>
        <v>Yes</v>
      </c>
      <c r="E192" s="473" t="s">
        <v>24</v>
      </c>
      <c r="F192" s="473" t="str">
        <f>IF(OR(TBL_001_ProjectInfo[[#This Row],[Type]]="Heading", TBL_001_ProjectInfo[[#This Row],[Required?]]="No"), "", IF(TBL_001_ProjectInfo[[#This Row],[Response]]&lt;&gt;"", "", "Add"))</f>
        <v/>
      </c>
      <c r="G192" s="473" t="s">
        <v>100</v>
      </c>
      <c r="H192" s="473"/>
      <c r="I192" s="508"/>
    </row>
    <row r="193" spans="1:9" ht="14">
      <c r="A193" s="352" t="str">
        <f>CONCATENATE("Number of ", IF($B$141&lt;&gt;"", B192, "properties")," applicable to this lot")</f>
        <v>Number of properties applicable to this lot</v>
      </c>
      <c r="B193" s="352">
        <v>2200</v>
      </c>
      <c r="C193" s="352"/>
      <c r="D193" s="352" t="str">
        <f t="shared" si="6"/>
        <v>Yes</v>
      </c>
      <c r="E193" s="473" t="s">
        <v>24</v>
      </c>
      <c r="F193" s="473" t="str">
        <f>IF(OR(TBL_001_ProjectInfo[[#This Row],[Type]]="Heading", TBL_001_ProjectInfo[[#This Row],[Required?]]="No"), "", IF(TBL_001_ProjectInfo[[#This Row],[Response]]&lt;&gt;"", "", "Add"))</f>
        <v/>
      </c>
      <c r="G193" s="473" t="s">
        <v>100</v>
      </c>
      <c r="H193" s="473"/>
      <c r="I193" s="508"/>
    </row>
    <row r="194" spans="1:9" ht="14">
      <c r="A194" s="352" t="s">
        <v>147</v>
      </c>
      <c r="B194" s="352" t="s">
        <v>1244</v>
      </c>
      <c r="C194" s="352"/>
      <c r="D194" s="352" t="str">
        <f t="shared" si="6"/>
        <v>Yes</v>
      </c>
      <c r="E194" s="473" t="s">
        <v>24</v>
      </c>
      <c r="F194" s="473" t="str">
        <f>IF(OR(TBL_001_ProjectInfo[[#This Row],[Type]]="Heading", TBL_001_ProjectInfo[[#This Row],[Required?]]="No"), "", IF(TBL_001_ProjectInfo[[#This Row],[Response]]&lt;&gt;"", "", "Add"))</f>
        <v/>
      </c>
      <c r="G194" s="473" t="s">
        <v>100</v>
      </c>
      <c r="H194" s="473"/>
      <c r="I194" s="508"/>
    </row>
    <row r="195" spans="1:9" ht="14">
      <c r="A195" s="352" t="s">
        <v>761</v>
      </c>
      <c r="B195" s="350" t="s">
        <v>1248</v>
      </c>
      <c r="C195" s="352"/>
      <c r="D195" s="352" t="str">
        <f t="shared" si="6"/>
        <v>Yes</v>
      </c>
      <c r="E195" s="473" t="s">
        <v>24</v>
      </c>
      <c r="F195" s="473" t="str">
        <f>IF(OR(TBL_001_ProjectInfo[[#This Row],[Type]]="Heading", TBL_001_ProjectInfo[[#This Row],[Required?]]="No"), "", IF(TBL_001_ProjectInfo[[#This Row],[Response]]&lt;&gt;"", "", "Add"))</f>
        <v/>
      </c>
      <c r="G195" s="473" t="s">
        <v>100</v>
      </c>
      <c r="H195" s="473"/>
      <c r="I195" s="508"/>
    </row>
    <row r="196" spans="1:9" ht="14">
      <c r="A196" s="352" t="s">
        <v>170</v>
      </c>
      <c r="B196" s="350"/>
      <c r="C196" s="352"/>
      <c r="D196" s="352" t="str">
        <f>IF(OR(Lotted?="No", No_Lots?&lt;5, $B$195="Single figure", $B$195="N/A"), "No", "Yes")</f>
        <v>No</v>
      </c>
      <c r="E196" s="473" t="s">
        <v>24</v>
      </c>
      <c r="F196" s="349" t="str">
        <f>IF(OR(TBL_001_ProjectInfo[[#This Row],[Type]]="Heading", TBL_001_ProjectInfo[[#This Row],[Required?]]="No"), "", IF(TBL_001_ProjectInfo[[#This Row],[Response]]&lt;&gt;"", "", "Add"))</f>
        <v/>
      </c>
      <c r="G196" s="473" t="s">
        <v>100</v>
      </c>
      <c r="H196" s="473"/>
      <c r="I196" s="508"/>
    </row>
    <row r="197" spans="1:9" ht="14">
      <c r="A197" s="352" t="s">
        <v>169</v>
      </c>
      <c r="B197" s="350">
        <v>10000</v>
      </c>
      <c r="C197" s="352"/>
      <c r="D197" s="352" t="str">
        <f>IF(OR(Lotted?="No", No_Lots?&lt;5, $B$195="N/A"), "No", "Yes")</f>
        <v>Yes</v>
      </c>
      <c r="E197" s="473" t="s">
        <v>24</v>
      </c>
      <c r="F197" s="349" t="str">
        <f>IF(OR(TBL_001_ProjectInfo[[#This Row],[Type]]="Heading", TBL_001_ProjectInfo[[#This Row],[Required?]]="No"), "", IF(TBL_001_ProjectInfo[[#This Row],[Response]]&lt;&gt;"", "", "Add"))</f>
        <v/>
      </c>
      <c r="G197" s="473" t="s">
        <v>100</v>
      </c>
      <c r="H197" s="473"/>
      <c r="I197" s="508"/>
    </row>
    <row r="198" spans="1:9" ht="14">
      <c r="A198" s="352" t="str">
        <f>CONCATENATE(IF($B$18="Restricted Procedure", "Tender", "Initial tender"), " - Min. no. to invite for this lot?")</f>
        <v>Tender - Min. no. to invite for this lot?</v>
      </c>
      <c r="B198" s="352" t="str">
        <f>IF(TBL_001_ProjectInfo[[#This Row],[Required?]]="Yes", IF($B$92&lt;&gt;"", $B$92, ""), "")</f>
        <v/>
      </c>
      <c r="C198" s="352"/>
      <c r="D198" s="352" t="str">
        <f>IF(OR(Lotted?="No", No_Lots?&lt;5, $B$18="Open Procedure"), "No", "Yes")</f>
        <v>Yes</v>
      </c>
      <c r="E198" s="473" t="s">
        <v>24</v>
      </c>
      <c r="F198" s="473" t="str">
        <f>IF(OR(TBL_001_ProjectInfo[[#This Row],[Type]]="Heading", TBL_001_ProjectInfo[[#This Row],[Required?]]="No"), "", IF(TBL_001_ProjectInfo[[#This Row],[Response]]&lt;&gt;"", "", "Add"))</f>
        <v>Add</v>
      </c>
      <c r="G198" s="473" t="s">
        <v>100</v>
      </c>
      <c r="H198" s="473"/>
      <c r="I198" s="508"/>
    </row>
    <row r="199" spans="1:9" ht="14">
      <c r="A199" s="352" t="str">
        <f>CONCATENATE(IF($B$18="Restricted Procedure", "Tender", "Initial tender"), " - Max. no. to invite for this lot?")</f>
        <v>Tender - Max. no. to invite for this lot?</v>
      </c>
      <c r="B199" s="352" t="str">
        <f>IF(TBL_001_ProjectInfo[[#This Row],[Required?]]="Yes", IF($B$93&lt;&gt;"", $B$93, ""), "")</f>
        <v/>
      </c>
      <c r="C199" s="352"/>
      <c r="D199" s="352" t="str">
        <f>IF(OR(Lotted?="No", No_Lots?&lt;5, $B$18="Open Procedure"), "No", "Yes")</f>
        <v>Yes</v>
      </c>
      <c r="E199" s="473" t="s">
        <v>24</v>
      </c>
      <c r="F199" s="473" t="str">
        <f>IF(OR(TBL_001_ProjectInfo[[#This Row],[Type]]="Heading", TBL_001_ProjectInfo[[#This Row],[Required?]]="No"), "", IF(TBL_001_ProjectInfo[[#This Row],[Response]]&lt;&gt;"", "", "Add"))</f>
        <v>Add</v>
      </c>
      <c r="G199" s="473" t="s">
        <v>100</v>
      </c>
      <c r="H199" s="473"/>
      <c r="I199" s="508"/>
    </row>
    <row r="200" spans="1:9" ht="14">
      <c r="A200" s="352" t="str">
        <f>CONCATENATE(IF($B$18="Competitive Dialogue Procedure", "Dialogue", "Negotiations"), " - Min. no. to invite for this lot?")</f>
        <v>Negotiations - Min. no. to invite for this lot?</v>
      </c>
      <c r="B200" s="352" t="str">
        <f>IF(TBL_001_ProjectInfo[[#This Row],[Required?]]="Yes", IF($B$95&lt;&gt;"", $B$95, ""), "")</f>
        <v/>
      </c>
      <c r="C200" s="352"/>
      <c r="D200" s="352" t="str">
        <f>IF(OR(Lotted?="No", No_Lots?&lt;5, $B$18="Open Procedure", $B$18="Restricted Procedure"), "No", "Yes")</f>
        <v>No</v>
      </c>
      <c r="E200" s="473" t="s">
        <v>24</v>
      </c>
      <c r="F200" s="473" t="str">
        <f>IF(OR(TBL_001_ProjectInfo[[#This Row],[Type]]="Heading", TBL_001_ProjectInfo[[#This Row],[Required?]]="No"), "", IF(TBL_001_ProjectInfo[[#This Row],[Response]]&lt;&gt;"", "", "Add"))</f>
        <v/>
      </c>
      <c r="G200" s="473" t="s">
        <v>100</v>
      </c>
      <c r="H200" s="473"/>
      <c r="I200" s="508"/>
    </row>
    <row r="201" spans="1:9" ht="14">
      <c r="A201" s="352" t="str">
        <f>CONCATENATE(IF($B$18="Competitive Dialogue Procedure", "Dialogue", "Negotiations"), " - Max. no. to invite for this lot?")</f>
        <v>Negotiations - Max. no. to invite for this lot?</v>
      </c>
      <c r="B201" s="352" t="str">
        <f>IF(TBL_001_ProjectInfo[[#This Row],[Required?]]="Yes", IF($B$96&lt;&gt;"", $B$96, ""), "")</f>
        <v/>
      </c>
      <c r="C201" s="352"/>
      <c r="D201" s="352" t="str">
        <f>IF(OR(Lotted?="No", No_Lots?&lt;5, $B$18="Open Procedure", $B$18="Restricted Procedure"), "No", "Yes")</f>
        <v>No</v>
      </c>
      <c r="E201" s="473" t="s">
        <v>24</v>
      </c>
      <c r="F201" s="473" t="str">
        <f>IF(OR(TBL_001_ProjectInfo[[#This Row],[Type]]="Heading", TBL_001_ProjectInfo[[#This Row],[Required?]]="No"), "", IF(TBL_001_ProjectInfo[[#This Row],[Response]]&lt;&gt;"", "", "Add"))</f>
        <v/>
      </c>
      <c r="G201" s="473" t="s">
        <v>100</v>
      </c>
      <c r="H201" s="473"/>
      <c r="I201" s="508"/>
    </row>
    <row r="202" spans="1:9" ht="14">
      <c r="A202" s="352" t="s">
        <v>1226</v>
      </c>
      <c r="B202" s="352" t="str">
        <f>IF(TBL_001_ProjectInfo[[#This Row],[Required?]]="Yes", IF($B$98&lt;&gt;"", $B$98, ""), "")</f>
        <v/>
      </c>
      <c r="C202" s="352"/>
      <c r="D202" s="352" t="str">
        <f>IF(OR(Lotted?="No", No_Lots?&lt;5, $B$18="Open Procedure", $B$18="Restricted Procedure"), "No", "Yes")</f>
        <v>No</v>
      </c>
      <c r="E202" s="473" t="s">
        <v>24</v>
      </c>
      <c r="F202" s="473" t="str">
        <f>IF(OR(TBL_001_ProjectInfo[[#This Row],[Type]]="Heading", TBL_001_ProjectInfo[[#This Row],[Required?]]="No"), "", IF(TBL_001_ProjectInfo[[#This Row],[Response]]&lt;&gt;"", "", "Add"))</f>
        <v/>
      </c>
      <c r="G202" s="473" t="s">
        <v>100</v>
      </c>
      <c r="H202" s="473"/>
      <c r="I202" s="508"/>
    </row>
    <row r="203" spans="1:9" ht="14">
      <c r="A203" s="352" t="s">
        <v>1227</v>
      </c>
      <c r="B203" s="352" t="str">
        <f>IF(TBL_001_ProjectInfo[[#This Row],[Required?]]="Yes", IF($B$99&lt;&gt;"", $B$99, ""), "")</f>
        <v/>
      </c>
      <c r="C203" s="352"/>
      <c r="D203" s="352" t="str">
        <f>IF(OR(Lotted?="No", No_Lots?&lt;5, $B$18="Open Procedure", $B$18="Restricted Procedure"), "No", "Yes")</f>
        <v>No</v>
      </c>
      <c r="E203" s="473" t="s">
        <v>24</v>
      </c>
      <c r="F203" s="473" t="str">
        <f>IF(OR(TBL_001_ProjectInfo[[#This Row],[Type]]="Heading", TBL_001_ProjectInfo[[#This Row],[Required?]]="No"), "", IF(TBL_001_ProjectInfo[[#This Row],[Response]]&lt;&gt;"", "", "Add"))</f>
        <v/>
      </c>
      <c r="G203" s="473" t="s">
        <v>100</v>
      </c>
      <c r="H203" s="473"/>
      <c r="I203" s="508"/>
    </row>
    <row r="204" spans="1:9" ht="14">
      <c r="A204" s="352" t="s">
        <v>1224</v>
      </c>
      <c r="B204" s="352">
        <v>1</v>
      </c>
      <c r="C204" s="352"/>
      <c r="D204" s="352" t="str">
        <f>IF(OR(Lotted?="No", No_Lots?&lt;5), "No", "Yes")</f>
        <v>Yes</v>
      </c>
      <c r="E204" s="473" t="s">
        <v>24</v>
      </c>
      <c r="F204" s="473" t="str">
        <f>IF(OR(TBL_001_ProjectInfo[[#This Row],[Type]]="Heading", TBL_001_ProjectInfo[[#This Row],[Required?]]="No"), "", IF(TBL_001_ProjectInfo[[#This Row],[Response]]&lt;&gt;"", "", "Add"))</f>
        <v/>
      </c>
      <c r="G204" s="473" t="s">
        <v>100</v>
      </c>
      <c r="H204" s="473"/>
      <c r="I204" s="508"/>
    </row>
    <row r="205" spans="1:9" ht="14">
      <c r="A205" s="352" t="s">
        <v>1225</v>
      </c>
      <c r="B205" s="352">
        <v>1</v>
      </c>
      <c r="C205" s="352"/>
      <c r="D205" s="352" t="str">
        <f>IF(OR(Lotted?="No", No_Lots?&lt;5), "No", "Yes")</f>
        <v>Yes</v>
      </c>
      <c r="E205" s="473" t="s">
        <v>24</v>
      </c>
      <c r="F205" s="473" t="str">
        <f>IF(OR(TBL_001_ProjectInfo[[#This Row],[Type]]="Heading", TBL_001_ProjectInfo[[#This Row],[Required?]]="No"), "", IF(TBL_001_ProjectInfo[[#This Row],[Response]]&lt;&gt;"", "", "Add"))</f>
        <v/>
      </c>
      <c r="G205" s="473" t="s">
        <v>100</v>
      </c>
      <c r="H205" s="473"/>
      <c r="I205" s="508"/>
    </row>
    <row r="206" spans="1:9" ht="14">
      <c r="A206" s="352" t="s">
        <v>1249</v>
      </c>
      <c r="B206" s="352"/>
      <c r="C206" s="352"/>
      <c r="D206" s="352" t="str">
        <f t="shared" ref="D206:D212" si="7">IF(OR(Lotted?="No", No_Lots?&lt;6), "No", "Yes")</f>
        <v>Yes</v>
      </c>
      <c r="E206" s="471" t="s">
        <v>1197</v>
      </c>
      <c r="F206" s="473" t="str">
        <f>IF(OR(TBL_001_ProjectInfo[[#This Row],[Type]]="Heading", TBL_001_ProjectInfo[[#This Row],[Required?]]="No"), "", IF(TBL_001_ProjectInfo[[#This Row],[Response]]&lt;&gt;"", "", "Add"))</f>
        <v/>
      </c>
      <c r="G206" s="473"/>
      <c r="H206" s="473"/>
    </row>
    <row r="207" spans="1:9" ht="14">
      <c r="A207" s="352" t="s">
        <v>1222</v>
      </c>
      <c r="B207" s="352" t="s">
        <v>1255</v>
      </c>
      <c r="C207" s="352"/>
      <c r="D207" s="352" t="str">
        <f t="shared" si="7"/>
        <v>Yes</v>
      </c>
      <c r="E207" s="471" t="s">
        <v>24</v>
      </c>
      <c r="F207" s="473" t="str">
        <f>IF(OR(TBL_001_ProjectInfo[[#This Row],[Type]]="Heading", TBL_001_ProjectInfo[[#This Row],[Required?]]="No"), "", IF(TBL_001_ProjectInfo[[#This Row],[Response]]&lt;&gt;"", "", "Add"))</f>
        <v/>
      </c>
      <c r="G207" s="473" t="s">
        <v>100</v>
      </c>
      <c r="H207" s="473"/>
    </row>
    <row r="208" spans="1:9" ht="14">
      <c r="A208" s="352" t="s">
        <v>1223</v>
      </c>
      <c r="B208" s="352"/>
      <c r="C208" s="352"/>
      <c r="D208" s="352" t="str">
        <f t="shared" si="7"/>
        <v>Yes</v>
      </c>
      <c r="E208" s="471" t="s">
        <v>24</v>
      </c>
      <c r="F208" s="473" t="str">
        <f>IF(OR(TBL_001_ProjectInfo[[#This Row],[Type]]="Heading", TBL_001_ProjectInfo[[#This Row],[Required?]]="No"), "", IF(TBL_001_ProjectInfo[[#This Row],[Response]]&lt;&gt;"", "", "Add"))</f>
        <v>Add</v>
      </c>
      <c r="G208" s="473" t="s">
        <v>100</v>
      </c>
      <c r="H208" s="473"/>
    </row>
    <row r="209" spans="1:8" ht="14">
      <c r="A209" s="352" t="s">
        <v>1228</v>
      </c>
      <c r="B209" s="352" t="str">
        <f>IF($B$63&lt;&gt;"",$B$63, "")</f>
        <v>properties</v>
      </c>
      <c r="C209" s="352"/>
      <c r="D209" s="352" t="str">
        <f t="shared" si="7"/>
        <v>Yes</v>
      </c>
      <c r="E209" s="471" t="s">
        <v>24</v>
      </c>
      <c r="F209" s="473" t="str">
        <f>IF(OR(TBL_001_ProjectInfo[[#This Row],[Type]]="Heading", TBL_001_ProjectInfo[[#This Row],[Required?]]="No"), "", IF(TBL_001_ProjectInfo[[#This Row],[Response]]&lt;&gt;"", "", "Add"))</f>
        <v/>
      </c>
      <c r="G209" s="473" t="s">
        <v>100</v>
      </c>
      <c r="H209" s="473"/>
    </row>
    <row r="210" spans="1:8" ht="14">
      <c r="A210" s="352" t="str">
        <f>CONCATENATE("Number of ", IF($B$141&lt;&gt;"", B209, "properties")," applicable to this lot")</f>
        <v>Number of properties applicable to this lot</v>
      </c>
      <c r="B210" s="352">
        <v>2200</v>
      </c>
      <c r="C210" s="352"/>
      <c r="D210" s="352" t="str">
        <f t="shared" si="7"/>
        <v>Yes</v>
      </c>
      <c r="E210" s="471" t="s">
        <v>24</v>
      </c>
      <c r="F210" s="473" t="str">
        <f>IF(OR(TBL_001_ProjectInfo[[#This Row],[Type]]="Heading", TBL_001_ProjectInfo[[#This Row],[Required?]]="No"), "", IF(TBL_001_ProjectInfo[[#This Row],[Response]]&lt;&gt;"", "", "Add"))</f>
        <v/>
      </c>
      <c r="G210" s="473" t="s">
        <v>100</v>
      </c>
      <c r="H210" s="473"/>
    </row>
    <row r="211" spans="1:8" ht="14">
      <c r="A211" s="352" t="s">
        <v>147</v>
      </c>
      <c r="B211" s="352" t="s">
        <v>1244</v>
      </c>
      <c r="C211" s="352"/>
      <c r="D211" s="352" t="str">
        <f t="shared" si="7"/>
        <v>Yes</v>
      </c>
      <c r="E211" s="471" t="s">
        <v>24</v>
      </c>
      <c r="F211" s="473" t="str">
        <f>IF(OR(TBL_001_ProjectInfo[[#This Row],[Type]]="Heading", TBL_001_ProjectInfo[[#This Row],[Required?]]="No"), "", IF(TBL_001_ProjectInfo[[#This Row],[Response]]&lt;&gt;"", "", "Add"))</f>
        <v/>
      </c>
      <c r="G211" s="473" t="s">
        <v>100</v>
      </c>
      <c r="H211" s="473"/>
    </row>
    <row r="212" spans="1:8" ht="14">
      <c r="A212" s="352" t="s">
        <v>761</v>
      </c>
      <c r="B212" s="350" t="s">
        <v>1248</v>
      </c>
      <c r="C212" s="352"/>
      <c r="D212" s="352" t="str">
        <f t="shared" si="7"/>
        <v>Yes</v>
      </c>
      <c r="E212" s="471" t="s">
        <v>24</v>
      </c>
      <c r="F212" s="473" t="str">
        <f>IF(OR(TBL_001_ProjectInfo[[#This Row],[Type]]="Heading", TBL_001_ProjectInfo[[#This Row],[Required?]]="No"), "", IF(TBL_001_ProjectInfo[[#This Row],[Response]]&lt;&gt;"", "", "Add"))</f>
        <v/>
      </c>
      <c r="G212" s="473" t="s">
        <v>100</v>
      </c>
      <c r="H212" s="473"/>
    </row>
    <row r="213" spans="1:8" ht="14">
      <c r="A213" s="352" t="s">
        <v>170</v>
      </c>
      <c r="B213" s="350"/>
      <c r="C213" s="352"/>
      <c r="D213" s="352" t="str">
        <f>IF(OR(Lotted?="No", No_Lots?&lt;6, $B$195="Single figure", $B$195="N/A"), "No", "Yes")</f>
        <v>No</v>
      </c>
      <c r="E213" s="471" t="s">
        <v>24</v>
      </c>
      <c r="F213" s="349" t="str">
        <f>IF(OR(TBL_001_ProjectInfo[[#This Row],[Type]]="Heading", TBL_001_ProjectInfo[[#This Row],[Required?]]="No"), "", IF(TBL_001_ProjectInfo[[#This Row],[Response]]&lt;&gt;"", "", "Add"))</f>
        <v/>
      </c>
      <c r="G213" s="473" t="s">
        <v>100</v>
      </c>
      <c r="H213" s="473"/>
    </row>
    <row r="214" spans="1:8" ht="14">
      <c r="A214" s="352" t="s">
        <v>169</v>
      </c>
      <c r="B214" s="350">
        <v>12000</v>
      </c>
      <c r="C214" s="352"/>
      <c r="D214" s="352" t="str">
        <f>IF(OR(Lotted?="No", No_Lots?&lt;6, $B$195="N/A"), "No", "Yes")</f>
        <v>Yes</v>
      </c>
      <c r="E214" s="471" t="s">
        <v>24</v>
      </c>
      <c r="F214" s="349" t="str">
        <f>IF(OR(TBL_001_ProjectInfo[[#This Row],[Type]]="Heading", TBL_001_ProjectInfo[[#This Row],[Required?]]="No"), "", IF(TBL_001_ProjectInfo[[#This Row],[Response]]&lt;&gt;"", "", "Add"))</f>
        <v/>
      </c>
      <c r="G214" s="473" t="s">
        <v>100</v>
      </c>
      <c r="H214" s="473"/>
    </row>
    <row r="215" spans="1:8" ht="14">
      <c r="A215" s="352" t="str">
        <f>CONCATENATE(IF($B$18="Restricted Procedure", "Tender", "Initial tender"), " - Min. no. to invite for this lot?")</f>
        <v>Tender - Min. no. to invite for this lot?</v>
      </c>
      <c r="B215" s="352" t="str">
        <f>IF(TBL_001_ProjectInfo[[#This Row],[Required?]]="Yes", IF($B$92&lt;&gt;"", $B$92, ""), "")</f>
        <v/>
      </c>
      <c r="C215" s="352"/>
      <c r="D215" s="352" t="str">
        <f>IF(OR(Lotted?="No", No_Lots?&lt;6, $B$18="Open Procedure"), "No", "Yes")</f>
        <v>Yes</v>
      </c>
      <c r="E215" s="471" t="s">
        <v>24</v>
      </c>
      <c r="F215" s="473" t="str">
        <f>IF(OR(TBL_001_ProjectInfo[[#This Row],[Type]]="Heading", TBL_001_ProjectInfo[[#This Row],[Required?]]="No"), "", IF(TBL_001_ProjectInfo[[#This Row],[Response]]&lt;&gt;"", "", "Add"))</f>
        <v>Add</v>
      </c>
      <c r="G215" s="473" t="s">
        <v>100</v>
      </c>
      <c r="H215" s="473"/>
    </row>
    <row r="216" spans="1:8" ht="14">
      <c r="A216" s="352" t="str">
        <f>CONCATENATE(IF($B$18="Restricted Procedure", "Tender", "Initial tender"), " - Max. no. to invite for this lot?")</f>
        <v>Tender - Max. no. to invite for this lot?</v>
      </c>
      <c r="B216" s="352" t="str">
        <f>IF(TBL_001_ProjectInfo[[#This Row],[Required?]]="Yes", IF($B$93&lt;&gt;"", $B$93, ""), "")</f>
        <v/>
      </c>
      <c r="C216" s="352"/>
      <c r="D216" s="352" t="str">
        <f>IF(OR(Lotted?="No", No_Lots?&lt;6, $B$18="Open Procedure"), "No", "Yes")</f>
        <v>Yes</v>
      </c>
      <c r="E216" s="471" t="s">
        <v>24</v>
      </c>
      <c r="F216" s="473" t="str">
        <f>IF(OR(TBL_001_ProjectInfo[[#This Row],[Type]]="Heading", TBL_001_ProjectInfo[[#This Row],[Required?]]="No"), "", IF(TBL_001_ProjectInfo[[#This Row],[Response]]&lt;&gt;"", "", "Add"))</f>
        <v>Add</v>
      </c>
      <c r="G216" s="473" t="s">
        <v>100</v>
      </c>
      <c r="H216" s="473"/>
    </row>
    <row r="217" spans="1:8" ht="14">
      <c r="A217" s="352" t="str">
        <f>CONCATENATE(IF($B$18="Competitive Dialogue Procedure", "Dialogue", "Negotiations"), " - Min. no. to invite for this lot?")</f>
        <v>Negotiations - Min. no. to invite for this lot?</v>
      </c>
      <c r="B217" s="352" t="str">
        <f>IF(TBL_001_ProjectInfo[[#This Row],[Required?]]="Yes", IF($B$95&lt;&gt;"", $B$95, ""), "")</f>
        <v/>
      </c>
      <c r="C217" s="352"/>
      <c r="D217" s="352" t="str">
        <f>IF(OR(Lotted?="No", No_Lots?&lt;6, $B$18="Open Procedure", $B$18="Restricted Procedure"), "No", "Yes")</f>
        <v>No</v>
      </c>
      <c r="E217" s="471" t="s">
        <v>24</v>
      </c>
      <c r="F217" s="473" t="str">
        <f>IF(OR(TBL_001_ProjectInfo[[#This Row],[Type]]="Heading", TBL_001_ProjectInfo[[#This Row],[Required?]]="No"), "", IF(TBL_001_ProjectInfo[[#This Row],[Response]]&lt;&gt;"", "", "Add"))</f>
        <v/>
      </c>
      <c r="G217" s="473" t="s">
        <v>100</v>
      </c>
      <c r="H217" s="473"/>
    </row>
    <row r="218" spans="1:8" ht="14">
      <c r="A218" s="352" t="str">
        <f>CONCATENATE(IF($B$18="Competitive Dialogue Procedure", "Dialogue", "Negotiations"), " - Max. no. to invite for this lot?")</f>
        <v>Negotiations - Max. no. to invite for this lot?</v>
      </c>
      <c r="B218" s="352" t="str">
        <f>IF(TBL_001_ProjectInfo[[#This Row],[Required?]]="Yes", IF($B$96&lt;&gt;"", $B$96, ""), "")</f>
        <v/>
      </c>
      <c r="C218" s="352"/>
      <c r="D218" s="352" t="str">
        <f>IF(OR(Lotted?="No", No_Lots?&lt;6, $B$18="Open Procedure", $B$18="Restricted Procedure"), "No", "Yes")</f>
        <v>No</v>
      </c>
      <c r="E218" s="471" t="s">
        <v>24</v>
      </c>
      <c r="F218" s="473" t="str">
        <f>IF(OR(TBL_001_ProjectInfo[[#This Row],[Type]]="Heading", TBL_001_ProjectInfo[[#This Row],[Required?]]="No"), "", IF(TBL_001_ProjectInfo[[#This Row],[Response]]&lt;&gt;"", "", "Add"))</f>
        <v/>
      </c>
      <c r="G218" s="473" t="s">
        <v>100</v>
      </c>
      <c r="H218" s="473"/>
    </row>
    <row r="219" spans="1:8" ht="14">
      <c r="A219" s="352" t="s">
        <v>1226</v>
      </c>
      <c r="B219" s="352" t="str">
        <f>IF(TBL_001_ProjectInfo[[#This Row],[Required?]]="Yes", IF($B$98&lt;&gt;"", $B$98, ""), "")</f>
        <v/>
      </c>
      <c r="C219" s="352"/>
      <c r="D219" s="352" t="str">
        <f>IF(OR(Lotted?="No", No_Lots?&lt;6, $B$18="Open Procedure", $B$18="Restricted Procedure"), "No", "Yes")</f>
        <v>No</v>
      </c>
      <c r="E219" s="471" t="s">
        <v>24</v>
      </c>
      <c r="F219" s="473" t="str">
        <f>IF(OR(TBL_001_ProjectInfo[[#This Row],[Type]]="Heading", TBL_001_ProjectInfo[[#This Row],[Required?]]="No"), "", IF(TBL_001_ProjectInfo[[#This Row],[Response]]&lt;&gt;"", "", "Add"))</f>
        <v/>
      </c>
      <c r="G219" s="473" t="s">
        <v>100</v>
      </c>
      <c r="H219" s="473"/>
    </row>
    <row r="220" spans="1:8" ht="14">
      <c r="A220" s="352" t="s">
        <v>1227</v>
      </c>
      <c r="B220" s="352" t="str">
        <f>IF(TBL_001_ProjectInfo[[#This Row],[Required?]]="Yes", IF($B$99&lt;&gt;"", $B$99, ""), "")</f>
        <v/>
      </c>
      <c r="C220" s="352"/>
      <c r="D220" s="352" t="str">
        <f>IF(OR(Lotted?="No", No_Lots?&lt;6, $B$18="Open Procedure", $B$18="Restricted Procedure"), "No", "Yes")</f>
        <v>No</v>
      </c>
      <c r="E220" s="471" t="s">
        <v>24</v>
      </c>
      <c r="F220" s="473" t="str">
        <f>IF(OR(TBL_001_ProjectInfo[[#This Row],[Type]]="Heading", TBL_001_ProjectInfo[[#This Row],[Required?]]="No"), "", IF(TBL_001_ProjectInfo[[#This Row],[Response]]&lt;&gt;"", "", "Add"))</f>
        <v/>
      </c>
      <c r="G220" s="473" t="s">
        <v>100</v>
      </c>
      <c r="H220" s="473"/>
    </row>
    <row r="221" spans="1:8" ht="14">
      <c r="A221" s="352" t="s">
        <v>1224</v>
      </c>
      <c r="B221" s="352">
        <v>1</v>
      </c>
      <c r="C221" s="352"/>
      <c r="D221" s="352" t="str">
        <f>IF(OR(Lotted?="No", No_Lots?&lt;6), "No", "Yes")</f>
        <v>Yes</v>
      </c>
      <c r="E221" s="471" t="s">
        <v>24</v>
      </c>
      <c r="F221" s="473" t="str">
        <f>IF(OR(TBL_001_ProjectInfo[[#This Row],[Type]]="Heading", TBL_001_ProjectInfo[[#This Row],[Required?]]="No"), "", IF(TBL_001_ProjectInfo[[#This Row],[Response]]&lt;&gt;"", "", "Add"))</f>
        <v/>
      </c>
      <c r="G221" s="473" t="s">
        <v>100</v>
      </c>
      <c r="H221" s="473"/>
    </row>
    <row r="222" spans="1:8" ht="14">
      <c r="A222" s="470" t="s">
        <v>1225</v>
      </c>
      <c r="B222" s="470">
        <v>1</v>
      </c>
      <c r="C222" s="470"/>
      <c r="D222" s="470" t="str">
        <f>IF(OR(Lotted?="No", No_Lots?&lt;6), "No", "Yes")</f>
        <v>Yes</v>
      </c>
      <c r="E222" s="519" t="s">
        <v>24</v>
      </c>
      <c r="F222" s="529" t="str">
        <f>IF(OR(TBL_001_ProjectInfo[[#This Row],[Type]]="Heading", TBL_001_ProjectInfo[[#This Row],[Required?]]="No"), "", IF(TBL_001_ProjectInfo[[#This Row],[Response]]&lt;&gt;"", "", "Add"))</f>
        <v/>
      </c>
      <c r="G222" s="529" t="s">
        <v>100</v>
      </c>
      <c r="H222" s="529"/>
    </row>
  </sheetData>
  <sheetProtection algorithmName="SHA-512" hashValue="96J4ij2uHUvL6A19QXq7JL7rtbjWR4Kz6ZK/7XG7fCh70W511gT74/SOzKDvE4JzxgZOIJOmSItr0gy0fu4v8g==" saltValue="akH0ORXqrnIHPig1024VDQ==" spinCount="100000" sheet="1" formatRows="0" autoFilter="0"/>
  <protectedRanges>
    <protectedRange sqref="C19 C58 C3 B2:B222" name="Data"/>
  </protectedRanges>
  <dataConsolidate/>
  <conditionalFormatting sqref="J1">
    <cfRule type="containsText" dxfId="538" priority="8" operator="containsText" text="Incomplete">
      <formula>NOT(ISERROR(SEARCH("Incomplete",J1)))</formula>
    </cfRule>
  </conditionalFormatting>
  <conditionalFormatting sqref="B2:B222">
    <cfRule type="expression" dxfId="537" priority="228">
      <formula>INDIRECT("F"&amp;ROW())="Add"</formula>
    </cfRule>
  </conditionalFormatting>
  <conditionalFormatting sqref="C2:C222">
    <cfRule type="expression" dxfId="536" priority="79">
      <formula>INDIRECT("G"&amp;ROW())="Add"</formula>
    </cfRule>
    <cfRule type="expression" dxfId="535" priority="218">
      <formula>INDIRECT("G"&amp;ROW())="Note"</formula>
    </cfRule>
    <cfRule type="expression" dxfId="534" priority="226">
      <formula>INDIRECT("G"&amp;ROW())="Error!"</formula>
    </cfRule>
    <cfRule type="expression" dxfId="533" priority="227">
      <formula>INDIRECT("G"&amp;ROW())="Shade"</formula>
    </cfRule>
  </conditionalFormatting>
  <conditionalFormatting sqref="A2:G222">
    <cfRule type="expression" dxfId="532" priority="10">
      <formula>INDIRECT("E"&amp;ROW())="Heading"</formula>
    </cfRule>
    <cfRule type="expression" dxfId="531" priority="49">
      <formula>INDIRECT("D"&amp;ROW())="No"</formula>
    </cfRule>
  </conditionalFormatting>
  <conditionalFormatting sqref="B206:B222">
    <cfRule type="expression" dxfId="530" priority="7">
      <formula>INDIRECT("F"&amp;ROW())="Add"</formula>
    </cfRule>
  </conditionalFormatting>
  <conditionalFormatting sqref="C206:C222">
    <cfRule type="expression" dxfId="529" priority="3">
      <formula>INDIRECT("G"&amp;ROW())="Add"</formula>
    </cfRule>
    <cfRule type="expression" dxfId="528" priority="4">
      <formula>INDIRECT("G"&amp;ROW())="Note"</formula>
    </cfRule>
    <cfRule type="expression" dxfId="527" priority="5">
      <formula>INDIRECT("G"&amp;ROW())="Error!"</formula>
    </cfRule>
    <cfRule type="expression" dxfId="526" priority="6">
      <formula>INDIRECT("G"&amp;ROW())="Shade"</formula>
    </cfRule>
  </conditionalFormatting>
  <conditionalFormatting sqref="A206:G222">
    <cfRule type="expression" dxfId="525" priority="1">
      <formula>INDIRECT("E"&amp;ROW())="Heading"</formula>
    </cfRule>
    <cfRule type="expression" dxfId="524" priority="2">
      <formula>INDIRECT("D"&amp;ROW())="No"</formula>
    </cfRule>
  </conditionalFormatting>
  <dataValidations count="41">
    <dataValidation type="list" allowBlank="1" showInputMessage="1" showErrorMessage="1" sqref="B14" xr:uid="{059CEFA1-499E-4414-A188-B92D796EABD6}">
      <formula1>"works, services, supplies"</formula1>
    </dataValidation>
    <dataValidation type="list" allowBlank="1" showInputMessage="1" showErrorMessage="1" sqref="B13:B14" xr:uid="{888AA444-2317-4387-9FC9-6CA70850C776}">
      <formula1>Contract_type</formula1>
    </dataValidation>
    <dataValidation type="list" allowBlank="1" showInputMessage="1" showErrorMessage="1" sqref="B66 B23 B59:B61 B57 B77:B78 B81:B86 B27 B108:B109 B114:B115 B97 B120 B88:B91 B118 B106 B112 B74:B75" xr:uid="{903767D5-6F19-47F1-B53B-2EC729D44B4C}">
      <formula1>"Yes, No"</formula1>
    </dataValidation>
    <dataValidation type="whole" allowBlank="1" showInputMessage="1" showErrorMessage="1" sqref="B54:B55" xr:uid="{B26853D3-68F6-49D6-8565-D49EF11EA6A6}">
      <formula1>1</formula1>
      <formula2>9.99999999999999E+32</formula2>
    </dataValidation>
    <dataValidation type="list" allowBlank="1" showInputMessage="1" showErrorMessage="1" sqref="B56" xr:uid="{9769BF3A-E5CC-4A9C-ACAA-4614AA401375}">
      <formula1>"Yes - extensions on an annually renewable basis, No - please provide further info"</formula1>
    </dataValidation>
    <dataValidation type="list" allowBlank="1" showInputMessage="1" showErrorMessage="1" sqref="B65 B126 B177 B143 B160 B194 B211" xr:uid="{B93B310C-AAD8-4B3F-B313-CFA824AED2FD}">
      <formula1>"approximately, exactly"</formula1>
    </dataValidation>
    <dataValidation type="list" allowBlank="1" showInputMessage="1" showErrorMessage="1" sqref="B49" xr:uid="{86685893-D182-4B7A-9E66-33925F624494}">
      <formula1>Contract_List</formula1>
    </dataValidation>
    <dataValidation type="decimal" allowBlank="1" showInputMessage="1" showErrorMessage="1" sqref="B91 C92 B143 B160 B177 B126 C98 B189 B172 B155 B138 B121 B102:B103 B94 C95 B97 B194 B206 B211" xr:uid="{9908127D-C613-4C09-A445-0EF1E970B0ED}">
      <formula1>0</formula1>
      <formula2>9.99999999999999E+47</formula2>
    </dataValidation>
    <dataValidation type="list" allowBlank="1" showInputMessage="1" showErrorMessage="1" sqref="B101" xr:uid="{D5C3B196-33FB-4C34-8B43-6E108B976565}">
      <formula1>"0 to 5, 0 to 10"</formula1>
    </dataValidation>
    <dataValidation type="list" allowBlank="1" showInputMessage="1" showErrorMessage="1" sqref="B58" xr:uid="{F0006FEF-6153-48AA-A77F-923972535864}">
      <formula1>"RPI, CPI, BMI, Other"</formula1>
    </dataValidation>
    <dataValidation type="list" allowBlank="1" showInputMessage="1" showErrorMessage="1" sqref="B50 B15" xr:uid="{54D823F2-DB98-45BE-A6F7-5BF3F75DD521}">
      <formula1>INDIRECT(B14)</formula1>
    </dataValidation>
    <dataValidation type="list" allowBlank="1" showInputMessage="1" showErrorMessage="1" sqref="B161 B127 B178 B144 B195 B212" xr:uid="{E01B1CAD-13A1-43A1-945C-C00BA8933732}">
      <formula1>"Range, Single figure, N/A"</formula1>
    </dataValidation>
    <dataValidation type="list" allowBlank="1" showInputMessage="1" showErrorMessage="1" sqref="B53" xr:uid="{43AE66D7-26FF-4707-A3A6-1BDA9D3DF3D7}">
      <formula1>"weeks, months, years"</formula1>
    </dataValidation>
    <dataValidation type="list" allowBlank="1" showInputMessage="1" showErrorMessage="1" sqref="B51" xr:uid="{18135D84-EEEB-4068-9161-13F6A07C48E2}">
      <formula1>"Service Provider, Contractor, Consultant, Constructor"</formula1>
    </dataValidation>
    <dataValidation type="whole" operator="greaterThanOrEqual" allowBlank="1" showInputMessage="1" showErrorMessage="1" sqref="B30:B31 B204:B205 B187:B188 B170:B171 B153:B154 B136:B137 B24 B26 B221:B222" xr:uid="{A84F967E-5D15-4CC2-B7B1-DD0E7FEDF726}">
      <formula1>1</formula1>
    </dataValidation>
    <dataValidation type="whole" allowBlank="1" showInputMessage="1" showErrorMessage="1" sqref="B28" xr:uid="{9E0A1A98-3D1D-4E65-8F59-66659CC6AF4B}">
      <formula1>1</formula1>
      <formula2>No_Lots?</formula2>
    </dataValidation>
    <dataValidation type="list" allowBlank="1" showInputMessage="1" showErrorMessage="1" sqref="B19" xr:uid="{006BE764-8F28-46AC-8995-321397DA51AD}">
      <formula1>Portal_Name</formula1>
    </dataValidation>
    <dataValidation type="list" allowBlank="1" showInputMessage="1" showErrorMessage="1" sqref="B6" xr:uid="{92CDC831-FBCE-47FB-83A5-C8C5E8F8BEA4}">
      <formula1>Offices</formula1>
    </dataValidation>
    <dataValidation type="list" allowBlank="1" showInputMessage="1" showErrorMessage="1" sqref="B104" xr:uid="{3D14BB3C-245A-4C1F-BD67-0F6FCAAFF7DC}">
      <formula1>"Not applicable, Interview, Site Visit"</formula1>
    </dataValidation>
    <dataValidation type="list" allowBlank="1" showInputMessage="1" showErrorMessage="1" sqref="B18" xr:uid="{EDE612F1-BAFD-442E-815F-360B19B092CE}">
      <formula1>Procedure</formula1>
    </dataValidation>
    <dataValidation type="whole" errorStyle="warning" operator="greaterThanOrEqual" allowBlank="1" showInputMessage="1" showErrorMessage="1" errorTitle="Minimum number not met" error="Minimium number of Tenderers is:_x000a_Restricted - 5 Tenderers_x000a_Negotiation / Dialogue - 3 Tenderers" sqref="B164 B202 B198 B200 B185 B181 B166 B168 B149 B151 B130 B98 B132 B147 B134 B183 B95 B92 B219 B215 B217" xr:uid="{0AD20D90-C134-4E79-A134-6522C30F2ADF}">
      <formula1>$H$92</formula1>
    </dataValidation>
    <dataValidation type="list" allowBlank="1" showInputMessage="1" showErrorMessage="1" sqref="B17" xr:uid="{83F23561-A6C3-4DEF-AC9C-9E35D4418A25}">
      <formula1>INDIRECT($H$17)</formula1>
    </dataValidation>
    <dataValidation type="list" allowBlank="1" showInputMessage="1" showErrorMessage="1" sqref="B17:B18" xr:uid="{5F0782E0-AA49-400B-870E-09AFECD83914}">
      <formula1>"Above, Below"</formula1>
    </dataValidation>
    <dataValidation type="list" allowBlank="1" showInputMessage="1" showErrorMessage="1" sqref="B17" xr:uid="{9596BB34-4B83-41A2-8693-D8A51F7A25CF}">
      <formula1>"SQ, PAS, ESPS"</formula1>
    </dataValidation>
    <dataValidation type="list" allowBlank="1" showInputMessage="1" showErrorMessage="1" sqref="B72" xr:uid="{8BDA4771-0F23-4D65-9E8D-B1B64924DE06}">
      <formula1>"PCG only, Performance Bond only, Either"</formula1>
    </dataValidation>
    <dataValidation type="decimal" operator="greaterThanOrEqual" allowBlank="1" showInputMessage="1" showErrorMessage="1" sqref="B68:B71 B196:B197 B179:B180 B162:B163 B145:B146 B128:B129 B213:B214" xr:uid="{9CF52754-25C2-4899-88CE-182354E9DF74}">
      <formula1>0</formula1>
    </dataValidation>
    <dataValidation type="list" allowBlank="1" showInputMessage="1" showErrorMessage="1" sqref="B107 B119 B113" xr:uid="{2A1A6B29-24A9-4DBB-A1DC-95CA61576E87}">
      <formula1>"Consensus, Average"</formula1>
    </dataValidation>
    <dataValidation type="list" allowBlank="1" showInputMessage="1" showErrorMessage="1" sqref="B52" xr:uid="{ADA84DCC-9960-413A-B5A7-37B470DDC607}">
      <formula1>"Contract Administrator, Client Representative, Alliance Manager"</formula1>
    </dataValidation>
    <dataValidation type="whole" operator="greaterThanOrEqual" allowBlank="1" showInputMessage="1" showErrorMessage="1" sqref="B165 B199 B131 B148 B93 B182 B216" xr:uid="{B8D1D060-A64E-4631-BFA1-D5EF7FBB70C5}">
      <formula1>$H$92</formula1>
    </dataValidation>
    <dataValidation type="whole" allowBlank="1" showInputMessage="1" showErrorMessage="1" sqref="B96 B99" xr:uid="{46498D00-4CB2-4E7F-B664-538953EBC8E9}">
      <formula1>B92</formula1>
      <formula2>B93</formula2>
    </dataValidation>
    <dataValidation type="whole" allowBlank="1" showInputMessage="1" showErrorMessage="1" sqref="B133 B150 B167 B184 B201 B218" xr:uid="{35706FA8-4BA6-4380-98D2-ED4E74B21492}">
      <formula1>B130</formula1>
      <formula2>B131</formula2>
    </dataValidation>
    <dataValidation type="whole" allowBlank="1" showInputMessage="1" showErrorMessage="1" sqref="B135 B152 B169 B186 B203 B220" xr:uid="{8DB13B04-8B0C-4358-8FB3-B54B037C963F}">
      <formula1>2</formula1>
      <formula2>B133</formula2>
    </dataValidation>
    <dataValidation type="list" allowBlank="1" showInputMessage="1" showErrorMessage="1" sqref="B25" xr:uid="{72E37178-1C86-4CFE-92AE-119DED590615}">
      <formula1>"All, Lot_1, Lot_2, Lot_3, Lot_4, Lot_5"</formula1>
    </dataValidation>
    <dataValidation type="whole" allowBlank="1" showInputMessage="1" showErrorMessage="1" sqref="B64" xr:uid="{9072D91C-CD40-47E2-B00B-143CE67F81BC}">
      <formula1>1</formula1>
      <formula2>9.99999999999999E+37</formula2>
    </dataValidation>
    <dataValidation type="list" allowBlank="1" showInputMessage="1" showErrorMessage="1" sqref="B63 B175 B158 B141 B124 B192 B209" xr:uid="{CA055BCF-0594-4553-8623-A86C9BA2F3FF}">
      <formula1>Property_Type</formula1>
    </dataValidation>
    <dataValidation type="whole" operator="greaterThan" allowBlank="1" showInputMessage="1" showErrorMessage="1" sqref="B125 B176 B142 B159 B193 B210" xr:uid="{7145471D-C521-4117-A179-A7C884280006}">
      <formula1>0</formula1>
    </dataValidation>
    <dataValidation type="whole" allowBlank="1" showInputMessage="1" showErrorMessage="1" sqref="B30:B47" xr:uid="{BC12E87F-3B2E-4D81-90AD-8C06DCD91B96}">
      <formula1>1</formula1>
      <formula2>9.99999999999999E+29</formula2>
    </dataValidation>
    <dataValidation type="whole" allowBlank="1" showInputMessage="1" showErrorMessage="1" sqref="C31:C47" xr:uid="{CD2BDDD4-464D-4FC3-A307-C539E15B4CDC}">
      <formula1>0</formula1>
      <formula2>9.99999999999999E+51</formula2>
    </dataValidation>
    <dataValidation type="list" allowBlank="1" showInputMessage="1" showErrorMessage="1" sqref="B79" xr:uid="{14F5EF6A-FCE0-478F-8AD3-446D8938C90C}">
      <formula1>$L$1:$L$5</formula1>
    </dataValidation>
    <dataValidation type="list" allowBlank="1" showInputMessage="1" showErrorMessage="1" sqref="B20" xr:uid="{4D315834-C8E5-47F4-8C5F-5677E54CE1E8}">
      <formula1>IF(B18="Open Procedure", $N$2, IF(B18="Restricted Procedure", $N$1:$N$2,$O$1:$O$3))</formula1>
    </dataValidation>
    <dataValidation type="list" allowBlank="1" showInputMessage="1" showErrorMessage="1" sqref="B21" xr:uid="{C8D11675-11DE-4D45-9287-CD8E1B8D0448}">
      <formula1>IF(OR(B78="Open Procedure", B20="SQ"),$N$3, IF(B20="Final", "Final", $Q$2:$Q$3))</formula1>
    </dataValidation>
  </dataValidations>
  <pageMargins left="0.7" right="0.7" top="0.75" bottom="0.75" header="0.3" footer="0.3"/>
  <pageSetup paperSize="9"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6F43E03-AD9D-4E59-8F1C-BA6602701C9D}">
          <x14:formula1>
            <xm:f>IF(OR($B$15="Greater than £181K", $B$15="Greater than £4.5M"), Lookups!$D$11, Lookups!$D$11:$D$12)</xm:f>
          </x14:formula1>
          <xm:sqref>B16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49"/>
  <sheetViews>
    <sheetView topLeftCell="L1" zoomScaleNormal="100" workbookViewId="0">
      <selection activeCell="AB60" sqref="AB60"/>
    </sheetView>
  </sheetViews>
  <sheetFormatPr baseColWidth="10" defaultColWidth="9.1640625" defaultRowHeight="13"/>
  <cols>
    <col min="1" max="1" width="26.33203125" style="30" hidden="1" customWidth="1"/>
    <col min="2" max="2" width="16.1640625" style="34" hidden="1" customWidth="1"/>
    <col min="3" max="3" width="19.5" style="30" hidden="1" customWidth="1"/>
    <col min="4" max="4" width="12.1640625" style="30" hidden="1" customWidth="1"/>
    <col min="5" max="5" width="8.1640625" style="30" hidden="1" customWidth="1"/>
    <col min="6" max="6" width="10.6640625" style="30" hidden="1" customWidth="1"/>
    <col min="7" max="7" width="15.33203125" style="30" hidden="1" customWidth="1"/>
    <col min="8" max="8" width="9.83203125" style="30" hidden="1" customWidth="1"/>
    <col min="9" max="9" width="11.5" style="30" hidden="1" customWidth="1"/>
    <col min="10" max="11" width="0" style="30" hidden="1" customWidth="1"/>
    <col min="12" max="16384" width="9.1640625" style="30"/>
  </cols>
  <sheetData>
    <row r="1" spans="1:11">
      <c r="A1" s="282" t="s">
        <v>20</v>
      </c>
      <c r="B1" s="283" t="s">
        <v>21</v>
      </c>
      <c r="C1" s="282" t="s">
        <v>137</v>
      </c>
      <c r="D1" s="312" t="s">
        <v>956</v>
      </c>
      <c r="E1" s="486" t="s">
        <v>777</v>
      </c>
      <c r="F1" s="504" t="s">
        <v>1235</v>
      </c>
      <c r="G1" s="281" t="s">
        <v>946</v>
      </c>
      <c r="H1" s="280" t="s">
        <v>927</v>
      </c>
      <c r="I1" s="280" t="s">
        <v>892</v>
      </c>
      <c r="J1" s="507"/>
      <c r="K1" s="229" t="str">
        <f>IF(COUNTIF(TBL_002_Dates[D_Check], "Add")&gt;0, "Incomplete", "Complete")</f>
        <v>Complete</v>
      </c>
    </row>
    <row r="2" spans="1:11" ht="14">
      <c r="A2" s="352" t="s">
        <v>678</v>
      </c>
      <c r="B2" s="488"/>
      <c r="C2" s="489" t="str">
        <f>IF(TBL_002_Dates[[#This Row],[Date]]&lt;&gt;"", VLOOKUP(WEEKDAY(TBL_002_Dates[[#This Row],[Date]]), TBL_006_Weekday[], 2, FALSE), "")</f>
        <v/>
      </c>
      <c r="D2" s="492" t="str">
        <f>IF('Project Info'!$B$18="Open Procedure", "No", "Yes")</f>
        <v>Yes</v>
      </c>
      <c r="E2" s="491" t="s">
        <v>1197</v>
      </c>
      <c r="F2" s="492" t="str">
        <f>IF(OR(TBL_002_Dates[[#This Row],[Required?]]="No", TBL_002_Dates[[#This Row],[Type]]="Heading"), "", IF(TBL_002_Dates[[#This Row],[Date]]&lt;&gt;"", "", "Add"))</f>
        <v/>
      </c>
      <c r="G2" s="490" t="str">
        <f>IF(AND(TBL_002_Dates[[#This Row],[Required?]]="Yes", TBL_002_Dates[[#This Row],[Date]]&lt;&gt;""), IF(OR(TBL_002_Dates[[#This Row],[Day of the Week]]="Saturday", TBL_002_Dates[[#This Row],[Day of the Week]]="Sunday"), "Error!", ""), "")</f>
        <v/>
      </c>
      <c r="H2" s="493" t="s">
        <v>24</v>
      </c>
      <c r="I2" s="493" t="s">
        <v>24</v>
      </c>
      <c r="J2" s="507"/>
    </row>
    <row r="3" spans="1:11">
      <c r="A3" s="494" t="s">
        <v>679</v>
      </c>
      <c r="B3" s="495">
        <v>44280</v>
      </c>
      <c r="C3" s="487" t="str">
        <f>IF(TBL_002_Dates[[#This Row],[Date]]&lt;&gt;"", VLOOKUP(WEEKDAY(TBL_002_Dates[[#This Row],[Date]]), TBL_006_Weekday[], 2, FALSE), "")</f>
        <v>Thursday</v>
      </c>
      <c r="D3" s="492" t="str">
        <f>IF('Project Info'!$B$18="Open Procedure", "No", "Yes")</f>
        <v>Yes</v>
      </c>
      <c r="E3" s="491" t="s">
        <v>24</v>
      </c>
      <c r="F3" s="492" t="str">
        <f>IF(OR(TBL_002_Dates[[#This Row],[Required?]]="No", TBL_002_Dates[[#This Row],[Type]]="Heading"), "", IF(TBL_002_Dates[[#This Row],[Date]]&lt;&gt;"", "", "Add"))</f>
        <v/>
      </c>
      <c r="G3" s="490" t="str">
        <f>IF(AND(TBL_002_Dates[[#This Row],[Required?]]="Yes", TBL_002_Dates[[#This Row],[Date]]&lt;&gt;""), IF(OR(TBL_002_Dates[[#This Row],[Day of the Week]]="Saturday", TBL_002_Dates[[#This Row],[Day of the Week]]="Sunday"), "Error!", ""), "")</f>
        <v/>
      </c>
      <c r="H3" s="493" t="s">
        <v>928</v>
      </c>
      <c r="I3" s="493" t="s">
        <v>929</v>
      </c>
      <c r="J3" s="507"/>
    </row>
    <row r="4" spans="1:11">
      <c r="A4" s="494" t="s">
        <v>680</v>
      </c>
      <c r="B4" s="495">
        <f>IF(AND(B3&lt;&gt;"", B5&lt;&gt;""), B5-10, "")</f>
        <v>44302</v>
      </c>
      <c r="C4" s="487" t="str">
        <f>IF(TBL_002_Dates[[#This Row],[Date]]&lt;&gt;"", VLOOKUP(WEEKDAY(TBL_002_Dates[[#This Row],[Date]]), TBL_006_Weekday[], 2, FALSE), "")</f>
        <v>Friday</v>
      </c>
      <c r="D4" s="492" t="str">
        <f>IF('Project Info'!$B$18="Open Procedure", "No", "Yes")</f>
        <v>Yes</v>
      </c>
      <c r="E4" s="491" t="s">
        <v>24</v>
      </c>
      <c r="F4" s="492" t="str">
        <f>IF(OR(TBL_002_Dates[[#This Row],[Required?]]="No", TBL_002_Dates[[#This Row],[Type]]="Heading"), "", IF(TBL_002_Dates[[#This Row],[Date]]&lt;&gt;"", "", "Add"))</f>
        <v/>
      </c>
      <c r="G4" s="490" t="str">
        <f>IF(AND(TBL_002_Dates[[#This Row],[Required?]]="Yes", TBL_002_Dates[[#This Row],[Date]]&lt;&gt;""), IF(OR(TBL_002_Dates[[#This Row],[Day of the Week]]="Saturday", TBL_002_Dates[[#This Row],[Day of the Week]]="Sunday"), "Error!", ""), "")</f>
        <v/>
      </c>
      <c r="H4" s="493" t="s">
        <v>928</v>
      </c>
      <c r="I4" s="493" t="s">
        <v>930</v>
      </c>
      <c r="J4" s="507"/>
    </row>
    <row r="5" spans="1:11">
      <c r="A5" s="494" t="s">
        <v>681</v>
      </c>
      <c r="B5" s="495">
        <f>IF(B3&lt;&gt;"", B3+32, "")</f>
        <v>44312</v>
      </c>
      <c r="C5" s="487" t="str">
        <f>IF(TBL_002_Dates[[#This Row],[Date]]&lt;&gt;"", VLOOKUP(WEEKDAY(TBL_002_Dates[[#This Row],[Date]]), TBL_006_Weekday[], 2, FALSE), "")</f>
        <v>Monday</v>
      </c>
      <c r="D5" s="492" t="str">
        <f>IF('Project Info'!$B$18="Open Procedure", "No", "Yes")</f>
        <v>Yes</v>
      </c>
      <c r="E5" s="491" t="s">
        <v>24</v>
      </c>
      <c r="F5" s="492" t="str">
        <f>IF(OR(TBL_002_Dates[[#This Row],[Required?]]="No", TBL_002_Dates[[#This Row],[Type]]="Heading"), "", IF(TBL_002_Dates[[#This Row],[Date]]&lt;&gt;"", "", "Add"))</f>
        <v/>
      </c>
      <c r="G5" s="490" t="str">
        <f>IF(AND(TBL_002_Dates[[#This Row],[Required?]]="Yes", TBL_002_Dates[[#This Row],[Date]]&lt;&gt;""), IF(OR(TBL_002_Dates[[#This Row],[Day of the Week]]="Saturday", TBL_002_Dates[[#This Row],[Day of the Week]]="Sunday"), "Error!", ""), "")</f>
        <v/>
      </c>
      <c r="H5" s="493" t="s">
        <v>928</v>
      </c>
      <c r="I5" s="493" t="s">
        <v>931</v>
      </c>
      <c r="J5" s="507"/>
    </row>
    <row r="6" spans="1:11">
      <c r="A6" s="494" t="s">
        <v>682</v>
      </c>
      <c r="B6" s="496">
        <v>0.5</v>
      </c>
      <c r="C6" s="487" t="s">
        <v>138</v>
      </c>
      <c r="D6" s="492" t="str">
        <f>IF('Project Info'!$B$18="Open Procedure", "No", "Yes")</f>
        <v>Yes</v>
      </c>
      <c r="E6" s="491" t="s">
        <v>24</v>
      </c>
      <c r="F6" s="492" t="str">
        <f>IF(OR(TBL_002_Dates[[#This Row],[Required?]]="No", TBL_002_Dates[[#This Row],[Type]]="Heading"), "", IF(TBL_002_Dates[[#This Row],[Date]]&lt;&gt;"", "", "Add"))</f>
        <v/>
      </c>
      <c r="G6" s="505" t="s">
        <v>24</v>
      </c>
      <c r="H6" s="493" t="s">
        <v>928</v>
      </c>
      <c r="I6" s="493" t="s">
        <v>932</v>
      </c>
      <c r="J6" s="507"/>
    </row>
    <row r="7" spans="1:11">
      <c r="A7" s="494" t="s">
        <v>683</v>
      </c>
      <c r="B7" s="495">
        <f>B5+1</f>
        <v>44313</v>
      </c>
      <c r="C7" s="487" t="str">
        <f>IF(TBL_002_Dates[[#This Row],[Date]]&lt;&gt;"", VLOOKUP(WEEKDAY(TBL_002_Dates[[#This Row],[Date]]), TBL_006_Weekday[], 2, FALSE), "")</f>
        <v>Tuesday</v>
      </c>
      <c r="D7" s="492" t="str">
        <f>IF('Project Info'!$B$18="Open Procedure", "No", "Yes")</f>
        <v>Yes</v>
      </c>
      <c r="E7" s="491" t="s">
        <v>24</v>
      </c>
      <c r="F7" s="492" t="str">
        <f>IF(OR(TBL_002_Dates[[#This Row],[Required?]]="No", TBL_002_Dates[[#This Row],[Type]]="Heading"), "", IF(TBL_002_Dates[[#This Row],[Date]]&lt;&gt;"", "", "Add"))</f>
        <v/>
      </c>
      <c r="G7" s="490" t="str">
        <f>IF(AND(TBL_002_Dates[[#This Row],[Required?]]="Yes", TBL_002_Dates[[#This Row],[Date]]&lt;&gt;""), IF(OR(TBL_002_Dates[[#This Row],[Day of the Week]]="Saturday", TBL_002_Dates[[#This Row],[Day of the Week]]="Sunday"), "Error!", ""), "")</f>
        <v/>
      </c>
      <c r="H7" s="493" t="s">
        <v>928</v>
      </c>
      <c r="I7" s="493" t="s">
        <v>933</v>
      </c>
      <c r="J7" s="507"/>
    </row>
    <row r="8" spans="1:11">
      <c r="A8" s="494" t="s">
        <v>684</v>
      </c>
      <c r="B8" s="495">
        <f>B7+3</f>
        <v>44316</v>
      </c>
      <c r="C8" s="487" t="str">
        <f>IF(TBL_002_Dates[[#This Row],[Date]]&lt;&gt;"", VLOOKUP(WEEKDAY(TBL_002_Dates[[#This Row],[Date]]), TBL_006_Weekday[], 2, FALSE), "")</f>
        <v>Friday</v>
      </c>
      <c r="D8" s="492" t="str">
        <f>IF('Project Info'!$B$18="Open Procedure", "No", "Yes")</f>
        <v>Yes</v>
      </c>
      <c r="E8" s="491" t="s">
        <v>24</v>
      </c>
      <c r="F8" s="492" t="str">
        <f>IF(OR(TBL_002_Dates[[#This Row],[Required?]]="No", TBL_002_Dates[[#This Row],[Type]]="Heading"), "", IF(TBL_002_Dates[[#This Row],[Date]]&lt;&gt;"", "", "Add"))</f>
        <v/>
      </c>
      <c r="G8" s="490" t="str">
        <f>IF(AND(TBL_002_Dates[[#This Row],[Required?]]="Yes", TBL_002_Dates[[#This Row],[Date]]&lt;&gt;""), IF(OR(TBL_002_Dates[[#This Row],[Day of the Week]]="Saturday", TBL_002_Dates[[#This Row],[Day of the Week]]="Sunday"), "Error!", ""), "")</f>
        <v/>
      </c>
      <c r="H8" s="493" t="s">
        <v>928</v>
      </c>
      <c r="I8" s="493" t="s">
        <v>934</v>
      </c>
      <c r="J8" s="507"/>
    </row>
    <row r="9" spans="1:11">
      <c r="A9" s="494" t="s">
        <v>685</v>
      </c>
      <c r="B9" s="495">
        <f>B8+4</f>
        <v>44320</v>
      </c>
      <c r="C9" s="487" t="str">
        <f>IF(TBL_002_Dates[[#This Row],[Date]]&lt;&gt;"", VLOOKUP(WEEKDAY(TBL_002_Dates[[#This Row],[Date]]), TBL_006_Weekday[], 2, FALSE), "")</f>
        <v>Tuesday</v>
      </c>
      <c r="D9" s="492" t="str">
        <f>IF('Project Info'!$B$18="Open Procedure", "No", "Yes")</f>
        <v>Yes</v>
      </c>
      <c r="E9" s="491" t="s">
        <v>24</v>
      </c>
      <c r="F9" s="492" t="str">
        <f>IF(OR(TBL_002_Dates[[#This Row],[Required?]]="No", TBL_002_Dates[[#This Row],[Type]]="Heading"), "", IF(TBL_002_Dates[[#This Row],[Date]]&lt;&gt;"", "", "Add"))</f>
        <v/>
      </c>
      <c r="G9" s="490" t="str">
        <f>IF(AND(TBL_002_Dates[[#This Row],[Required?]]="Yes", TBL_002_Dates[[#This Row],[Date]]&lt;&gt;""), IF(OR(TBL_002_Dates[[#This Row],[Day of the Week]]="Saturday", TBL_002_Dates[[#This Row],[Day of the Week]]="Sunday"), "Error!", ""), "")</f>
        <v/>
      </c>
      <c r="H9" s="493" t="s">
        <v>928</v>
      </c>
      <c r="I9" s="493" t="s">
        <v>935</v>
      </c>
      <c r="J9" s="507"/>
    </row>
    <row r="10" spans="1:11">
      <c r="A10" s="494" t="s">
        <v>686</v>
      </c>
      <c r="B10" s="495">
        <f>B9+1</f>
        <v>44321</v>
      </c>
      <c r="C10" s="487" t="str">
        <f>IF(TBL_002_Dates[[#This Row],[Date]]&lt;&gt;"", VLOOKUP(WEEKDAY(TBL_002_Dates[[#This Row],[Date]]), TBL_006_Weekday[], 2, FALSE), "")</f>
        <v>Wednesday</v>
      </c>
      <c r="D10" s="492" t="str">
        <f>IF('Project Info'!$B$18="Open Procedure", "No", "Yes")</f>
        <v>Yes</v>
      </c>
      <c r="E10" s="491" t="s">
        <v>24</v>
      </c>
      <c r="F10" s="492" t="str">
        <f>IF(OR(TBL_002_Dates[[#This Row],[Required?]]="No", TBL_002_Dates[[#This Row],[Type]]="Heading"), "", IF(TBL_002_Dates[[#This Row],[Date]]&lt;&gt;"", "", "Add"))</f>
        <v/>
      </c>
      <c r="G10" s="490" t="str">
        <f>IF(AND(TBL_002_Dates[[#This Row],[Required?]]="Yes", TBL_002_Dates[[#This Row],[Date]]&lt;&gt;""), IF(OR(TBL_002_Dates[[#This Row],[Day of the Week]]="Saturday", TBL_002_Dates[[#This Row],[Day of the Week]]="Sunday"), "Error!", ""), "")</f>
        <v/>
      </c>
      <c r="H10" s="493" t="s">
        <v>928</v>
      </c>
      <c r="I10" s="493" t="s">
        <v>758</v>
      </c>
      <c r="J10" s="507"/>
    </row>
    <row r="11" spans="1:11">
      <c r="A11" s="497" t="str">
        <f>IF(OR('Project Info'!$B$20="Initial", 'Project Info'!$B$20="Final"), "Initial tender dates", "Tender dates")</f>
        <v>Tender dates</v>
      </c>
      <c r="B11" s="488"/>
      <c r="C11" s="489" t="str">
        <f>IF(TBL_002_Dates[[#This Row],[Date]]&lt;&gt;"", VLOOKUP(WEEKDAY(TBL_002_Dates[[#This Row],[Date]]), TBL_006_Weekday[], 2, FALSE), "")</f>
        <v/>
      </c>
      <c r="D11" s="492" t="s">
        <v>951</v>
      </c>
      <c r="E11" s="491" t="s">
        <v>1197</v>
      </c>
      <c r="F11" s="490" t="str">
        <f>IF(OR(TBL_002_Dates[[#This Row],[Required?]]="No", TBL_002_Dates[[#This Row],[Type]]="Heading"), "", IF(TBL_002_Dates[[#This Row],[Date]]&lt;&gt;"", "", "Add"))</f>
        <v/>
      </c>
      <c r="G11" s="490" t="str">
        <f>IF(AND(TBL_002_Dates[[#This Row],[Required?]]="Yes", TBL_002_Dates[[#This Row],[Date]]&lt;&gt;""), IF(OR(TBL_002_Dates[[#This Row],[Day of the Week]]="Saturday", TBL_002_Dates[[#This Row],[Day of the Week]]="Sunday"), "Error!", ""), "")</f>
        <v/>
      </c>
      <c r="H11" s="493" t="s">
        <v>24</v>
      </c>
      <c r="I11" s="493" t="s">
        <v>24</v>
      </c>
      <c r="J11" s="507"/>
    </row>
    <row r="12" spans="1:11">
      <c r="A12" s="494" t="s">
        <v>11</v>
      </c>
      <c r="B12" s="495">
        <f>B10</f>
        <v>44321</v>
      </c>
      <c r="C12" s="487" t="str">
        <f>IF(TBL_002_Dates[[#This Row],[Date]]&lt;&gt;"", VLOOKUP(WEEKDAY(TBL_002_Dates[[#This Row],[Date]]), TBL_006_Weekday[], 2, FALSE), "")</f>
        <v>Wednesday</v>
      </c>
      <c r="D12" s="492" t="s">
        <v>951</v>
      </c>
      <c r="E12" s="491" t="s">
        <v>24</v>
      </c>
      <c r="F12" s="490" t="str">
        <f>IF(OR(TBL_002_Dates[[#This Row],[Required?]]="No", TBL_002_Dates[[#This Row],[Type]]="Heading"), "", IF(TBL_002_Dates[[#This Row],[Date]]&lt;&gt;"", "", "Add"))</f>
        <v/>
      </c>
      <c r="G12" s="490" t="str">
        <f>IF(AND(TBL_002_Dates[[#This Row],[Required?]]="Yes", TBL_002_Dates[[#This Row],[Date]]&lt;&gt;""), IF(OR(TBL_002_Dates[[#This Row],[Day of the Week]]="Saturday", TBL_002_Dates[[#This Row],[Day of the Week]]="Sunday"), "Error!", ""), "")</f>
        <v/>
      </c>
      <c r="H12" s="493" t="s">
        <v>936</v>
      </c>
      <c r="I12" s="493" t="s">
        <v>929</v>
      </c>
      <c r="J12" s="507"/>
    </row>
    <row r="13" spans="1:11">
      <c r="A13" s="494" t="s">
        <v>12</v>
      </c>
      <c r="B13" s="495">
        <f>IF(AND(B12&lt;&gt;"", B14&lt;&gt;""), B14-9, "")</f>
        <v>44328</v>
      </c>
      <c r="C13" s="487" t="str">
        <f>IF(TBL_002_Dates[[#This Row],[Date]]&lt;&gt;"", VLOOKUP(WEEKDAY(TBL_002_Dates[[#This Row],[Date]]), TBL_006_Weekday[], 2, FALSE), "")</f>
        <v>Wednesday</v>
      </c>
      <c r="D13" s="492" t="s">
        <v>951</v>
      </c>
      <c r="E13" s="491" t="s">
        <v>24</v>
      </c>
      <c r="F13" s="490" t="str">
        <f>IF(OR(TBL_002_Dates[[#This Row],[Required?]]="No", TBL_002_Dates[[#This Row],[Type]]="Heading"), "", IF(TBL_002_Dates[[#This Row],[Date]]&lt;&gt;"", "", "Add"))</f>
        <v/>
      </c>
      <c r="G13" s="490" t="str">
        <f>IF(AND(TBL_002_Dates[[#This Row],[Required?]]="Yes", TBL_002_Dates[[#This Row],[Date]]&lt;&gt;""), IF(OR(TBL_002_Dates[[#This Row],[Day of the Week]]="Saturday", TBL_002_Dates[[#This Row],[Day of the Week]]="Sunday"), "Error!", ""), "")</f>
        <v/>
      </c>
      <c r="H13" s="493" t="s">
        <v>936</v>
      </c>
      <c r="I13" s="493" t="s">
        <v>930</v>
      </c>
      <c r="J13" s="507"/>
    </row>
    <row r="14" spans="1:11">
      <c r="A14" s="494" t="s">
        <v>10</v>
      </c>
      <c r="B14" s="495">
        <f>IF(B12&lt;&gt;"", B12+16, "")</f>
        <v>44337</v>
      </c>
      <c r="C14" s="487" t="str">
        <f>IF(TBL_002_Dates[[#This Row],[Date]]&lt;&gt;"", VLOOKUP(WEEKDAY(TBL_002_Dates[[#This Row],[Date]]), TBL_006_Weekday[], 2, FALSE), "")</f>
        <v>Friday</v>
      </c>
      <c r="D14" s="492" t="s">
        <v>951</v>
      </c>
      <c r="E14" s="491" t="s">
        <v>24</v>
      </c>
      <c r="F14" s="490" t="str">
        <f>IF(OR(TBL_002_Dates[[#This Row],[Required?]]="No", TBL_002_Dates[[#This Row],[Type]]="Heading"), "", IF(TBL_002_Dates[[#This Row],[Date]]&lt;&gt;"", "", "Add"))</f>
        <v/>
      </c>
      <c r="G14" s="490" t="str">
        <f>IF(AND(TBL_002_Dates[[#This Row],[Required?]]="Yes", TBL_002_Dates[[#This Row],[Date]]&lt;&gt;""), IF(OR(TBL_002_Dates[[#This Row],[Day of the Week]]="Saturday", TBL_002_Dates[[#This Row],[Day of the Week]]="Sunday"), "Error!", ""), "")</f>
        <v/>
      </c>
      <c r="H14" s="493" t="s">
        <v>936</v>
      </c>
      <c r="I14" s="493" t="s">
        <v>931</v>
      </c>
      <c r="J14" s="507"/>
    </row>
    <row r="15" spans="1:11">
      <c r="A15" s="494" t="s">
        <v>121</v>
      </c>
      <c r="B15" s="496">
        <v>0.5</v>
      </c>
      <c r="C15" s="487" t="s">
        <v>138</v>
      </c>
      <c r="D15" s="492" t="s">
        <v>951</v>
      </c>
      <c r="E15" s="491" t="s">
        <v>24</v>
      </c>
      <c r="F15" s="490" t="str">
        <f>IF(OR(TBL_002_Dates[[#This Row],[Required?]]="No", TBL_002_Dates[[#This Row],[Type]]="Heading"), "", IF(TBL_002_Dates[[#This Row],[Date]]&lt;&gt;"", "", "Add"))</f>
        <v/>
      </c>
      <c r="G15" s="505" t="s">
        <v>24</v>
      </c>
      <c r="H15" s="493" t="s">
        <v>936</v>
      </c>
      <c r="I15" s="493" t="s">
        <v>932</v>
      </c>
      <c r="J15" s="507"/>
    </row>
    <row r="16" spans="1:11">
      <c r="A16" s="494" t="s">
        <v>29</v>
      </c>
      <c r="B16" s="495">
        <f>Return_Date+3</f>
        <v>44340</v>
      </c>
      <c r="C16" s="487" t="str">
        <f>IF(TBL_002_Dates[[#This Row],[Date]]&lt;&gt;"", VLOOKUP(WEEKDAY(TBL_002_Dates[[#This Row],[Date]]), TBL_006_Weekday[], 2, FALSE), "")</f>
        <v>Monday</v>
      </c>
      <c r="D16" s="492" t="s">
        <v>951</v>
      </c>
      <c r="E16" s="491" t="s">
        <v>24</v>
      </c>
      <c r="F16" s="490" t="str">
        <f>IF(OR(TBL_002_Dates[[#This Row],[Required?]]="No", TBL_002_Dates[[#This Row],[Type]]="Heading"), "", IF(TBL_002_Dates[[#This Row],[Date]]&lt;&gt;"", "", "Add"))</f>
        <v/>
      </c>
      <c r="G16" s="490" t="str">
        <f>IF(AND(TBL_002_Dates[[#This Row],[Required?]]="Yes", TBL_002_Dates[[#This Row],[Date]]&lt;&gt;""), IF(OR(TBL_002_Dates[[#This Row],[Day of the Week]]="Saturday", TBL_002_Dates[[#This Row],[Day of the Week]]="Sunday"), "Error!", ""), "")</f>
        <v/>
      </c>
      <c r="H16" s="493" t="s">
        <v>936</v>
      </c>
      <c r="I16" s="493" t="s">
        <v>933</v>
      </c>
      <c r="J16" s="507"/>
    </row>
    <row r="17" spans="1:10" hidden="1">
      <c r="A17" s="491" t="s">
        <v>1232</v>
      </c>
      <c r="B17" s="495" t="str">
        <f>IF(Int_or_SV="Not applicable", "N/A", "")</f>
        <v>N/A</v>
      </c>
      <c r="C17" s="487" t="str">
        <f>IF(TBL_002_Dates[[#This Row],[Date]]="N/A", "", IF(TBL_002_Dates[[#This Row],[Date]]&lt;&gt;"", VLOOKUP(WEEKDAY(TBL_002_Dates[[#This Row],[Date]]), TBL_006_Weekday[], 2, FALSE), ""))</f>
        <v/>
      </c>
      <c r="D17" s="492" t="str">
        <f>IF(Int_or_SV="Not applicable", "No", "Yes")</f>
        <v>No</v>
      </c>
      <c r="E17" s="491" t="s">
        <v>24</v>
      </c>
      <c r="F17" s="490" t="str">
        <f>IF(OR(TBL_002_Dates[[#This Row],[Required?]]="No", TBL_002_Dates[[#This Row],[Type]]="Heading"), "", IF(TBL_002_Dates[[#This Row],[Date]]&lt;&gt;"", "", "Add"))</f>
        <v/>
      </c>
      <c r="G17" s="490" t="str">
        <f>IF(AND(TBL_002_Dates[[#This Row],[Required?]]="Yes", TBL_002_Dates[[#This Row],[Date]]&lt;&gt;""), IF(OR(TBL_002_Dates[[#This Row],[Day of the Week]]="Saturday", TBL_002_Dates[[#This Row],[Day of the Week]]="Sunday"), "Error!", ""), "")</f>
        <v/>
      </c>
      <c r="H17" s="493" t="s">
        <v>936</v>
      </c>
      <c r="I17" s="498" t="s">
        <v>1005</v>
      </c>
      <c r="J17" s="507"/>
    </row>
    <row r="18" spans="1:10" hidden="1">
      <c r="A18" s="491" t="s">
        <v>1233</v>
      </c>
      <c r="B18" s="495" t="str">
        <f>IF(Int_or_SV="Not applicable", "N/A", IF(B17&lt;&gt;"", B17+7, ""))</f>
        <v>N/A</v>
      </c>
      <c r="C18" s="487" t="str">
        <f>IF(TBL_002_Dates[[#This Row],[Date]]="N/A", "", IF(TBL_002_Dates[[#This Row],[Date]]&lt;&gt;"", VLOOKUP(WEEKDAY(TBL_002_Dates[[#This Row],[Date]]), TBL_006_Weekday[], 2, FALSE), ""))</f>
        <v/>
      </c>
      <c r="D18" s="492" t="str">
        <f>IF(Int_or_SV="Not applicable", "No", "Yes")</f>
        <v>No</v>
      </c>
      <c r="E18" s="491" t="s">
        <v>24</v>
      </c>
      <c r="F18" s="490" t="str">
        <f>IF(OR(TBL_002_Dates[[#This Row],[Required?]]="No", TBL_002_Dates[[#This Row],[Type]]="Heading"), "", IF(TBL_002_Dates[[#This Row],[Date]]&lt;&gt;"", "", "Add"))</f>
        <v/>
      </c>
      <c r="G18" s="490" t="str">
        <f>IF(AND(TBL_002_Dates[[#This Row],[Required?]]="Yes", TBL_002_Dates[[#This Row],[Date]]&lt;&gt;""), IF(OR(TBL_002_Dates[[#This Row],[Day of the Week]]="Saturday", TBL_002_Dates[[#This Row],[Day of the Week]]="Sunday"), "Error!", ""), "")</f>
        <v/>
      </c>
      <c r="H18" s="493" t="s">
        <v>936</v>
      </c>
      <c r="I18" s="498" t="s">
        <v>1006</v>
      </c>
      <c r="J18" s="507"/>
    </row>
    <row r="19" spans="1:10" hidden="1">
      <c r="A19" s="491" t="s">
        <v>1234</v>
      </c>
      <c r="B19" s="495" t="str">
        <f>IF(Int_or_SV="Not applicable", "N/A", "")</f>
        <v>N/A</v>
      </c>
      <c r="C19" s="487" t="str">
        <f>IF(TBL_002_Dates[[#This Row],[Date]]="N/A", "", IF(TBL_002_Dates[[#This Row],[Date]]&lt;&gt;"", VLOOKUP(WEEKDAY(TBL_002_Dates[[#This Row],[Date]]), TBL_006_Weekday[], 2, FALSE), ""))</f>
        <v/>
      </c>
      <c r="D19" s="492" t="str">
        <f>IF(Int_or_SV="Not applicable", "No", "Yes")</f>
        <v>No</v>
      </c>
      <c r="E19" s="491" t="s">
        <v>24</v>
      </c>
      <c r="F19" s="490" t="str">
        <f>IF(OR(TBL_002_Dates[[#This Row],[Required?]]="No", TBL_002_Dates[[#This Row],[Type]]="Heading"), "", IF(TBL_002_Dates[[#This Row],[Date]]&lt;&gt;"", "", "Add"))</f>
        <v/>
      </c>
      <c r="G19" s="490" t="str">
        <f>IF(AND(TBL_002_Dates[[#This Row],[Required?]]="Yes", TBL_002_Dates[[#This Row],[Date]]&lt;&gt;""), IF(OR(TBL_002_Dates[[#This Row],[Day of the Week]]="Saturday", TBL_002_Dates[[#This Row],[Day of the Week]]="Sunday"), "Error!", ""), "")</f>
        <v/>
      </c>
      <c r="H19" s="493" t="s">
        <v>936</v>
      </c>
      <c r="I19" s="498" t="s">
        <v>1007</v>
      </c>
      <c r="J19" s="507"/>
    </row>
    <row r="20" spans="1:10">
      <c r="A20" s="494" t="s">
        <v>30</v>
      </c>
      <c r="B20" s="495">
        <f>B16+8</f>
        <v>44348</v>
      </c>
      <c r="C20" s="487" t="str">
        <f>IF(TBL_002_Dates[[#This Row],[Date]]&lt;&gt;"", VLOOKUP(WEEKDAY(TBL_002_Dates[[#This Row],[Date]]), TBL_006_Weekday[], 2, FALSE), "")</f>
        <v>Tuesday</v>
      </c>
      <c r="D20" s="492" t="s">
        <v>951</v>
      </c>
      <c r="E20" s="491" t="s">
        <v>24</v>
      </c>
      <c r="F20" s="490" t="str">
        <f>IF(OR(TBL_002_Dates[[#This Row],[Required?]]="No", TBL_002_Dates[[#This Row],[Type]]="Heading"), "", IF(TBL_002_Dates[[#This Row],[Date]]&lt;&gt;"", "", "Add"))</f>
        <v/>
      </c>
      <c r="G20" s="490" t="str">
        <f>IF(AND(TBL_002_Dates[[#This Row],[Required?]]="Yes", TBL_002_Dates[[#This Row],[Date]]&lt;&gt;""), IF(OR(TBL_002_Dates[[#This Row],[Day of the Week]]="Saturday", TBL_002_Dates[[#This Row],[Day of the Week]]="Sunday"), "Error!", ""), "")</f>
        <v/>
      </c>
      <c r="H20" s="493" t="s">
        <v>936</v>
      </c>
      <c r="I20" s="493" t="s">
        <v>934</v>
      </c>
      <c r="J20" s="507"/>
    </row>
    <row r="21" spans="1:10">
      <c r="A21" s="494" t="s">
        <v>179</v>
      </c>
      <c r="B21" s="495">
        <f>B20+1</f>
        <v>44349</v>
      </c>
      <c r="C21" s="487" t="str">
        <f>IF(TBL_002_Dates[[#This Row],[Date]]&lt;&gt;"", VLOOKUP(WEEKDAY(TBL_002_Dates[[#This Row],[Date]]), TBL_006_Weekday[], 2, FALSE), "")</f>
        <v>Wednesday</v>
      </c>
      <c r="D21" s="492" t="s">
        <v>951</v>
      </c>
      <c r="E21" s="491" t="s">
        <v>24</v>
      </c>
      <c r="F21" s="490" t="str">
        <f>IF(OR(TBL_002_Dates[[#This Row],[Required?]]="No", TBL_002_Dates[[#This Row],[Type]]="Heading"), "", IF(TBL_002_Dates[[#This Row],[Date]]&lt;&gt;"", "", "Add"))</f>
        <v/>
      </c>
      <c r="G21" s="490" t="str">
        <f>IF(AND(TBL_002_Dates[[#This Row],[Required?]]="Yes", TBL_002_Dates[[#This Row],[Date]]&lt;&gt;""), IF(OR(TBL_002_Dates[[#This Row],[Day of the Week]]="Saturday", TBL_002_Dates[[#This Row],[Day of the Week]]="Sunday"), "Error!", ""), "")</f>
        <v/>
      </c>
      <c r="H21" s="493" t="s">
        <v>936</v>
      </c>
      <c r="I21" s="493" t="s">
        <v>935</v>
      </c>
      <c r="J21" s="507"/>
    </row>
    <row r="22" spans="1:10" hidden="1">
      <c r="A22" s="499" t="s">
        <v>58</v>
      </c>
      <c r="B22" s="500"/>
      <c r="C22" s="501" t="str">
        <f>IF(TBL_002_Dates[[#This Row],[Date]]&lt;&gt;"", VLOOKUP(WEEKDAY(TBL_002_Dates[[#This Row],[Date]]), TBL_006_Weekday[], 2, FALSE), "")</f>
        <v/>
      </c>
      <c r="D22" s="499" t="str">
        <f>IF(OR('Project Info'!$B$18="Open Procedure", 'Project Info'!$B$18="Restricted Procedure"), "No", "Yes")</f>
        <v>No</v>
      </c>
      <c r="E22" s="491" t="s">
        <v>24</v>
      </c>
      <c r="F22" s="492" t="str">
        <f>IF(OR(TBL_002_Dates[[#This Row],[Required?]]="No", TBL_002_Dates[[#This Row],[Type]]="Heading"), "", IF(TBL_002_Dates[[#This Row],[Date]]&lt;&gt;"", "", "Add"))</f>
        <v/>
      </c>
      <c r="G22" s="490" t="str">
        <f>IF(AND(TBL_002_Dates[[#This Row],[Required?]]="Yes", TBL_002_Dates[[#This Row],[Date]]&lt;&gt;""), IF(OR(TBL_002_Dates[[#This Row],[Day of the Week]]="Saturday", TBL_002_Dates[[#This Row],[Day of the Week]]="Sunday"), "Error!", ""), "")</f>
        <v/>
      </c>
      <c r="H22" s="493" t="s">
        <v>936</v>
      </c>
      <c r="I22" s="493" t="s">
        <v>758</v>
      </c>
      <c r="J22" s="507"/>
    </row>
    <row r="23" spans="1:10" hidden="1">
      <c r="A23" s="502" t="str">
        <f>IF('Project Info'!$B$18="Competitive Dialogue Procedure", "Dialogue dates", "Negotiation dates")</f>
        <v>Negotiation dates</v>
      </c>
      <c r="B23" s="488"/>
      <c r="C23" s="489" t="str">
        <f>IF(TBL_002_Dates[[#This Row],[Date]]&lt;&gt;"", VLOOKUP(WEEKDAY(TBL_002_Dates[[#This Row],[Date]]), TBL_006_Weekday[], 2, FALSE), "")</f>
        <v/>
      </c>
      <c r="D23" s="499" t="str">
        <f>IF(OR('Project Info'!$B$18="Open Procedure", 'Project Info'!$B$18="Restricted Procedure"), "No", "Yes")</f>
        <v>No</v>
      </c>
      <c r="E23" s="491" t="s">
        <v>1197</v>
      </c>
      <c r="F23" s="499" t="str">
        <f>IF(OR(TBL_002_Dates[[#This Row],[Required?]]="No", TBL_002_Dates[[#This Row],[Type]]="Heading"), "", IF(TBL_002_Dates[[#This Row],[Date]]&lt;&gt;"", "", "Add"))</f>
        <v/>
      </c>
      <c r="G23" s="490" t="str">
        <f>IF(AND(TBL_002_Dates[[#This Row],[Required?]]="Yes", TBL_002_Dates[[#This Row],[Date]]&lt;&gt;""), IF(OR(TBL_002_Dates[[#This Row],[Day of the Week]]="Saturday", TBL_002_Dates[[#This Row],[Day of the Week]]="Sunday"), "Error!", ""), "")</f>
        <v/>
      </c>
      <c r="H23" s="493" t="s">
        <v>24</v>
      </c>
      <c r="I23" s="493" t="s">
        <v>24</v>
      </c>
      <c r="J23" s="507"/>
    </row>
    <row r="24" spans="1:10" hidden="1">
      <c r="A24" s="499" t="str">
        <f>IF('Project Info'!$B$18="Competitive Dialogue Procedure", "Dialogue starts", "Negotiation starts")</f>
        <v>Negotiation starts</v>
      </c>
      <c r="B24" s="500"/>
      <c r="C24" s="501" t="str">
        <f>IF(TBL_002_Dates[[#This Row],[Date]]&lt;&gt;"", VLOOKUP(WEEKDAY(TBL_002_Dates[[#This Row],[Date]]), TBL_006_Weekday[], 2, FALSE), "")</f>
        <v/>
      </c>
      <c r="D24" s="499" t="str">
        <f>IF(OR('Project Info'!$B$18="Open Procedure", 'Project Info'!$B$18="Restricted Procedure"), "No", "Yes")</f>
        <v>No</v>
      </c>
      <c r="E24" s="491" t="s">
        <v>24</v>
      </c>
      <c r="F24" s="492" t="str">
        <f>IF(OR(TBL_002_Dates[[#This Row],[Required?]]="No", TBL_002_Dates[[#This Row],[Type]]="Heading"), "", IF(TBL_002_Dates[[#This Row],[Date]]&lt;&gt;"", "", "Add"))</f>
        <v/>
      </c>
      <c r="G24" s="490" t="str">
        <f>IF(AND(TBL_002_Dates[[#This Row],[Required?]]="Yes", TBL_002_Dates[[#This Row],[Date]]&lt;&gt;""), IF(OR(TBL_002_Dates[[#This Row],[Day of the Week]]="Saturday", TBL_002_Dates[[#This Row],[Day of the Week]]="Sunday"), "Error!", ""), "")</f>
        <v/>
      </c>
      <c r="H24" s="499" t="s">
        <v>1031</v>
      </c>
      <c r="I24" s="499" t="s">
        <v>938</v>
      </c>
      <c r="J24" s="507"/>
    </row>
    <row r="25" spans="1:10" hidden="1">
      <c r="A25" s="499" t="s">
        <v>1027</v>
      </c>
      <c r="B25" s="500"/>
      <c r="C25" s="501" t="str">
        <f>IF(TBL_002_Dates[[#This Row],[Date]]&lt;&gt;"", VLOOKUP(WEEKDAY(TBL_002_Dates[[#This Row],[Date]]), TBL_006_Weekday[], 2, FALSE), "")</f>
        <v/>
      </c>
      <c r="D25" s="499" t="str">
        <f>IF(OR('Project Info'!$B$18="Open Procedure", 'Project Info'!$B$18="Restricted Procedure"), "No", "Yes")</f>
        <v>No</v>
      </c>
      <c r="E25" s="491" t="s">
        <v>24</v>
      </c>
      <c r="F25" s="492" t="str">
        <f>IF(OR(TBL_002_Dates[[#This Row],[Required?]]="No", TBL_002_Dates[[#This Row],[Type]]="Heading"), "", IF(TBL_002_Dates[[#This Row],[Date]]&lt;&gt;"", "", "Add"))</f>
        <v/>
      </c>
      <c r="G25" s="490" t="str">
        <f>IF(AND(TBL_002_Dates[[#This Row],[Required?]]="Yes", TBL_002_Dates[[#This Row],[Date]]&lt;&gt;""), IF(OR(TBL_002_Dates[[#This Row],[Day of the Week]]="Saturday", TBL_002_Dates[[#This Row],[Day of the Week]]="Sunday"), "Error!", ""), "")</f>
        <v/>
      </c>
      <c r="H25" s="499" t="s">
        <v>1031</v>
      </c>
      <c r="I25" s="499" t="s">
        <v>1032</v>
      </c>
      <c r="J25" s="507"/>
    </row>
    <row r="26" spans="1:10" hidden="1">
      <c r="A26" s="499" t="s">
        <v>1028</v>
      </c>
      <c r="B26" s="500"/>
      <c r="C26" s="501" t="str">
        <f>IF(TBL_002_Dates[[#This Row],[Date]]&lt;&gt;"", VLOOKUP(WEEKDAY(TBL_002_Dates[[#This Row],[Date]]), TBL_006_Weekday[], 2, FALSE), "")</f>
        <v/>
      </c>
      <c r="D26" s="499" t="str">
        <f>IF(OR('Project Info'!$B$18="Open Procedure", 'Project Info'!$B$18="Restricted Procedure"), "No", "Yes")</f>
        <v>No</v>
      </c>
      <c r="E26" s="491" t="s">
        <v>24</v>
      </c>
      <c r="F26" s="492" t="str">
        <f>IF(OR(TBL_002_Dates[[#This Row],[Required?]]="No", TBL_002_Dates[[#This Row],[Type]]="Heading"), "", IF(TBL_002_Dates[[#This Row],[Date]]&lt;&gt;"", "", "Add"))</f>
        <v/>
      </c>
      <c r="G26" s="490" t="str">
        <f>IF(AND(TBL_002_Dates[[#This Row],[Required?]]="Yes", TBL_002_Dates[[#This Row],[Date]]&lt;&gt;""), IF(OR(TBL_002_Dates[[#This Row],[Day of the Week]]="Saturday", TBL_002_Dates[[#This Row],[Day of the Week]]="Sunday"), "Error!", ""), "")</f>
        <v/>
      </c>
      <c r="H26" s="499" t="s">
        <v>1031</v>
      </c>
      <c r="I26" s="499" t="s">
        <v>1033</v>
      </c>
      <c r="J26" s="507"/>
    </row>
    <row r="27" spans="1:10" hidden="1">
      <c r="A27" s="499" t="s">
        <v>1029</v>
      </c>
      <c r="B27" s="500"/>
      <c r="C27" s="501" t="str">
        <f>IF(TBL_002_Dates[[#This Row],[Date]]&lt;&gt;"", VLOOKUP(WEEKDAY(TBL_002_Dates[[#This Row],[Date]]), TBL_006_Weekday[], 2, FALSE), "")</f>
        <v/>
      </c>
      <c r="D27" s="499" t="str">
        <f>IF(OR('Project Info'!$B$18="Open Procedure", 'Project Info'!$B$18="Restricted Procedure"), "No", "Yes")</f>
        <v>No</v>
      </c>
      <c r="E27" s="491" t="s">
        <v>24</v>
      </c>
      <c r="F27" s="492" t="str">
        <f>IF(OR(TBL_002_Dates[[#This Row],[Required?]]="No", TBL_002_Dates[[#This Row],[Type]]="Heading"), "", IF(TBL_002_Dates[[#This Row],[Date]]&lt;&gt;"", "", "Add"))</f>
        <v/>
      </c>
      <c r="G27" s="490" t="str">
        <f>IF(AND(TBL_002_Dates[[#This Row],[Required?]]="Yes", TBL_002_Dates[[#This Row],[Date]]&lt;&gt;""), IF(OR(TBL_002_Dates[[#This Row],[Day of the Week]]="Saturday", TBL_002_Dates[[#This Row],[Day of the Week]]="Sunday"), "Error!", ""), "")</f>
        <v/>
      </c>
      <c r="H27" s="499" t="s">
        <v>1031</v>
      </c>
      <c r="I27" s="499" t="s">
        <v>1034</v>
      </c>
      <c r="J27" s="507"/>
    </row>
    <row r="28" spans="1:10" hidden="1">
      <c r="A28" s="499" t="s">
        <v>1030</v>
      </c>
      <c r="B28" s="500"/>
      <c r="C28" s="501" t="str">
        <f>IF(TBL_002_Dates[[#This Row],[Date]]&lt;&gt;"", VLOOKUP(WEEKDAY(TBL_002_Dates[[#This Row],[Date]]), TBL_006_Weekday[], 2, FALSE), "")</f>
        <v/>
      </c>
      <c r="D28" s="499" t="str">
        <f>IF(OR('Project Info'!$B$18="Open Procedure", 'Project Info'!$B$18="Restricted Procedure"), "No", "Yes")</f>
        <v>No</v>
      </c>
      <c r="E28" s="491" t="s">
        <v>24</v>
      </c>
      <c r="F28" s="492" t="str">
        <f>IF(OR(TBL_002_Dates[[#This Row],[Required?]]="No", TBL_002_Dates[[#This Row],[Type]]="Heading"), "", IF(TBL_002_Dates[[#This Row],[Date]]&lt;&gt;"", "", "Add"))</f>
        <v/>
      </c>
      <c r="G28" s="490" t="str">
        <f>IF(AND(TBL_002_Dates[[#This Row],[Required?]]="Yes", TBL_002_Dates[[#This Row],[Date]]&lt;&gt;""), IF(OR(TBL_002_Dates[[#This Row],[Day of the Week]]="Saturday", TBL_002_Dates[[#This Row],[Day of the Week]]="Sunday"), "Error!", ""), "")</f>
        <v/>
      </c>
      <c r="H28" s="499" t="s">
        <v>1031</v>
      </c>
      <c r="I28" s="499" t="s">
        <v>1035</v>
      </c>
      <c r="J28" s="507"/>
    </row>
    <row r="29" spans="1:10" hidden="1">
      <c r="A29" s="499" t="str">
        <f>IF('Project Info'!$B$18="Competitive Dialogue Procedure", "Dialogue ends", "Negotiation ends")</f>
        <v>Negotiation ends</v>
      </c>
      <c r="B29" s="500"/>
      <c r="C29" s="501" t="str">
        <f>IF(TBL_002_Dates[[#This Row],[Date]]&lt;&gt;"", VLOOKUP(WEEKDAY(TBL_002_Dates[[#This Row],[Date]]), TBL_006_Weekday[], 2, FALSE), "")</f>
        <v/>
      </c>
      <c r="D29" s="499" t="str">
        <f>IF(OR('Project Info'!$B$18="Open Procedure", 'Project Info'!$B$18="Restricted Procedure"), "No", "Yes")</f>
        <v>No</v>
      </c>
      <c r="E29" s="491" t="s">
        <v>24</v>
      </c>
      <c r="F29" s="492" t="str">
        <f>IF(OR(TBL_002_Dates[[#This Row],[Required?]]="No", TBL_002_Dates[[#This Row],[Type]]="Heading"), "", IF(TBL_002_Dates[[#This Row],[Date]]&lt;&gt;"", "", "Add"))</f>
        <v/>
      </c>
      <c r="G29" s="490" t="str">
        <f>IF(AND(TBL_002_Dates[[#This Row],[Required?]]="Yes", TBL_002_Dates[[#This Row],[Date]]&lt;&gt;""), IF(OR(TBL_002_Dates[[#This Row],[Day of the Week]]="Saturday", TBL_002_Dates[[#This Row],[Day of the Week]]="Sunday"), "Error!", ""), "")</f>
        <v/>
      </c>
      <c r="H29" s="499" t="s">
        <v>1031</v>
      </c>
      <c r="I29" s="499" t="s">
        <v>939</v>
      </c>
      <c r="J29" s="507"/>
    </row>
    <row r="30" spans="1:10" hidden="1">
      <c r="A30" s="501" t="s">
        <v>1026</v>
      </c>
      <c r="B30" s="488"/>
      <c r="C30" s="489" t="str">
        <f>IF(TBL_002_Dates[[#This Row],[Date]]&lt;&gt;"", VLOOKUP(WEEKDAY(TBL_002_Dates[[#This Row],[Date]]), TBL_006_Weekday[], 2, FALSE), "")</f>
        <v/>
      </c>
      <c r="D30" s="499" t="str">
        <f>IF(OR('Project Info'!$B$18="Open Procedure", 'Project Info'!$B$18="Restricted Procedure"), "No", "Yes")</f>
        <v>No</v>
      </c>
      <c r="E30" s="491" t="s">
        <v>1197</v>
      </c>
      <c r="F30" s="499" t="str">
        <f>IF(OR(TBL_002_Dates[[#This Row],[Required?]]="No", TBL_002_Dates[[#This Row],[Type]]="Heading"), "", IF(TBL_002_Dates[[#This Row],[Date]]&lt;&gt;"", "", "Add"))</f>
        <v/>
      </c>
      <c r="G30" s="490" t="str">
        <f>IF(AND(TBL_002_Dates[[#This Row],[Required?]]="Yes", TBL_002_Dates[[#This Row],[Date]]&lt;&gt;""), IF(OR(TBL_002_Dates[[#This Row],[Day of the Week]]="Saturday", TBL_002_Dates[[#This Row],[Day of the Week]]="Sunday"), "Error!", ""), "")</f>
        <v/>
      </c>
      <c r="H30" s="493" t="s">
        <v>24</v>
      </c>
      <c r="I30" s="493" t="s">
        <v>24</v>
      </c>
      <c r="J30" s="507"/>
    </row>
    <row r="31" spans="1:10" hidden="1">
      <c r="A31" s="499" t="s">
        <v>1019</v>
      </c>
      <c r="B31" s="495"/>
      <c r="C31" s="487" t="str">
        <f>IF(TBL_002_Dates[[#This Row],[Date]]&lt;&gt;"", VLOOKUP(WEEKDAY(TBL_002_Dates[[#This Row],[Date]]), TBL_006_Weekday[], 2, FALSE), "")</f>
        <v/>
      </c>
      <c r="D31" s="499" t="str">
        <f>IF(OR('Project Info'!$B$18="Open Procedure", 'Project Info'!$B$18="Restricted Procedure"), "No", "Yes")</f>
        <v>No</v>
      </c>
      <c r="E31" s="491" t="s">
        <v>24</v>
      </c>
      <c r="F31" s="492" t="str">
        <f>IF(OR(TBL_002_Dates[[#This Row],[Required?]]="No", TBL_002_Dates[[#This Row],[Type]]="Heading"), "", IF(TBL_002_Dates[[#This Row],[Date]]&lt;&gt;"", "", "Add"))</f>
        <v/>
      </c>
      <c r="G31" s="490" t="str">
        <f>IF(AND(TBL_002_Dates[[#This Row],[Required?]]="Yes", TBL_002_Dates[[#This Row],[Date]]&lt;&gt;""), IF(OR(TBL_002_Dates[[#This Row],[Day of the Week]]="Saturday", TBL_002_Dates[[#This Row],[Day of the Week]]="Sunday"), "Error!", ""), "")</f>
        <v/>
      </c>
      <c r="H31" s="499" t="s">
        <v>940</v>
      </c>
      <c r="I31" s="493" t="s">
        <v>929</v>
      </c>
      <c r="J31" s="507"/>
    </row>
    <row r="32" spans="1:10" hidden="1">
      <c r="A32" s="499" t="s">
        <v>1020</v>
      </c>
      <c r="B32" s="495" t="str">
        <f>IF(AND(B31&lt;&gt;"", B33&lt;&gt;""), B33-9, "")</f>
        <v/>
      </c>
      <c r="C32" s="487" t="str">
        <f>IF(TBL_002_Dates[[#This Row],[Date]]&lt;&gt;"", VLOOKUP(WEEKDAY(TBL_002_Dates[[#This Row],[Date]]), TBL_006_Weekday[], 2, FALSE), "")</f>
        <v/>
      </c>
      <c r="D32" s="499" t="str">
        <f>IF(OR('Project Info'!$B$18="Open Procedure", 'Project Info'!$B$18="Restricted Procedure"), "No", "Yes")</f>
        <v>No</v>
      </c>
      <c r="E32" s="491" t="s">
        <v>24</v>
      </c>
      <c r="F32" s="492" t="str">
        <f>IF(OR(TBL_002_Dates[[#This Row],[Required?]]="No", TBL_002_Dates[[#This Row],[Type]]="Heading"), "", IF(TBL_002_Dates[[#This Row],[Date]]&lt;&gt;"", "", "Add"))</f>
        <v/>
      </c>
      <c r="G32" s="490" t="str">
        <f>IF(AND(TBL_002_Dates[[#This Row],[Required?]]="Yes", TBL_002_Dates[[#This Row],[Date]]&lt;&gt;""), IF(OR(TBL_002_Dates[[#This Row],[Day of the Week]]="Saturday", TBL_002_Dates[[#This Row],[Day of the Week]]="Sunday"), "Error!", ""), "")</f>
        <v/>
      </c>
      <c r="H32" s="499" t="s">
        <v>940</v>
      </c>
      <c r="I32" s="493" t="s">
        <v>930</v>
      </c>
      <c r="J32" s="507"/>
    </row>
    <row r="33" spans="1:10" hidden="1">
      <c r="A33" s="499" t="s">
        <v>1021</v>
      </c>
      <c r="B33" s="495" t="str">
        <f>IF(B31&lt;&gt;"", B31+30, "")</f>
        <v/>
      </c>
      <c r="C33" s="487" t="str">
        <f>IF(TBL_002_Dates[[#This Row],[Date]]&lt;&gt;"", VLOOKUP(WEEKDAY(TBL_002_Dates[[#This Row],[Date]]), TBL_006_Weekday[], 2, FALSE), "")</f>
        <v/>
      </c>
      <c r="D33" s="499" t="str">
        <f>IF(OR('Project Info'!$B$18="Open Procedure", 'Project Info'!$B$18="Restricted Procedure"), "No", "Yes")</f>
        <v>No</v>
      </c>
      <c r="E33" s="491" t="s">
        <v>24</v>
      </c>
      <c r="F33" s="492" t="str">
        <f>IF(OR(TBL_002_Dates[[#This Row],[Required?]]="No", TBL_002_Dates[[#This Row],[Type]]="Heading"), "", IF(TBL_002_Dates[[#This Row],[Date]]&lt;&gt;"", "", "Add"))</f>
        <v/>
      </c>
      <c r="G33" s="490" t="str">
        <f>IF(AND(TBL_002_Dates[[#This Row],[Required?]]="Yes", TBL_002_Dates[[#This Row],[Date]]&lt;&gt;""), IF(OR(TBL_002_Dates[[#This Row],[Day of the Week]]="Saturday", TBL_002_Dates[[#This Row],[Day of the Week]]="Sunday"), "Error!", ""), "")</f>
        <v/>
      </c>
      <c r="H33" s="499" t="s">
        <v>940</v>
      </c>
      <c r="I33" s="493" t="s">
        <v>931</v>
      </c>
      <c r="J33" s="507"/>
    </row>
    <row r="34" spans="1:10" hidden="1">
      <c r="A34" s="499" t="s">
        <v>1022</v>
      </c>
      <c r="B34" s="496">
        <v>0.5</v>
      </c>
      <c r="C34" s="487" t="s">
        <v>138</v>
      </c>
      <c r="D34" s="499" t="str">
        <f>IF(OR('Project Info'!$B$18="Open Procedure", 'Project Info'!$B$18="Restricted Procedure"), "No", "Yes")</f>
        <v>No</v>
      </c>
      <c r="E34" s="491" t="s">
        <v>24</v>
      </c>
      <c r="F34" s="492" t="str">
        <f>IF(OR(TBL_002_Dates[[#This Row],[Required?]]="No", TBL_002_Dates[[#This Row],[Type]]="Heading"), "", IF(TBL_002_Dates[[#This Row],[Date]]&lt;&gt;"", "", "Add"))</f>
        <v/>
      </c>
      <c r="G34" s="505" t="s">
        <v>24</v>
      </c>
      <c r="H34" s="499" t="s">
        <v>940</v>
      </c>
      <c r="I34" s="493" t="s">
        <v>932</v>
      </c>
      <c r="J34" s="507"/>
    </row>
    <row r="35" spans="1:10" hidden="1">
      <c r="A35" s="499" t="s">
        <v>1023</v>
      </c>
      <c r="B35" s="495"/>
      <c r="C35" s="487" t="str">
        <f>IF(TBL_002_Dates[[#This Row],[Date]]&lt;&gt;"", VLOOKUP(WEEKDAY(TBL_002_Dates[[#This Row],[Date]]), TBL_006_Weekday[], 2, FALSE), "")</f>
        <v/>
      </c>
      <c r="D35" s="499" t="str">
        <f>IF(OR('Project Info'!$B$18="Open Procedure", 'Project Info'!$B$18="Restricted Procedure"), "No", "Yes")</f>
        <v>No</v>
      </c>
      <c r="E35" s="491" t="s">
        <v>24</v>
      </c>
      <c r="F35" s="492" t="str">
        <f>IF(OR(TBL_002_Dates[[#This Row],[Required?]]="No", TBL_002_Dates[[#This Row],[Type]]="Heading"), "", IF(TBL_002_Dates[[#This Row],[Date]]&lt;&gt;"", "", "Add"))</f>
        <v/>
      </c>
      <c r="G35" s="490" t="str">
        <f>IF(AND(TBL_002_Dates[[#This Row],[Required?]]="Yes", TBL_002_Dates[[#This Row],[Date]]&lt;&gt;""), IF(OR(TBL_002_Dates[[#This Row],[Day of the Week]]="Saturday", TBL_002_Dates[[#This Row],[Day of the Week]]="Sunday"), "Error!", ""), "")</f>
        <v/>
      </c>
      <c r="H35" s="499" t="s">
        <v>940</v>
      </c>
      <c r="I35" s="493" t="s">
        <v>933</v>
      </c>
      <c r="J35" s="507"/>
    </row>
    <row r="36" spans="1:10" hidden="1">
      <c r="A36" s="491" t="s">
        <v>1232</v>
      </c>
      <c r="B36" s="495" t="str">
        <f>IF(Int_or_SV="Not applicable", "N/A", "")</f>
        <v>N/A</v>
      </c>
      <c r="C36" s="487" t="str">
        <f>IF(TBL_002_Dates[[#This Row],[Date]]="N/A", "", IF(TBL_002_Dates[[#This Row],[Date]]&lt;&gt;"", VLOOKUP(WEEKDAY(TBL_002_Dates[[#This Row],[Date]]), TBL_006_Weekday[], 2, FALSE), ""))</f>
        <v/>
      </c>
      <c r="D36" s="499" t="str">
        <f>IF(OR('Project Info'!$B$18="Open Procedure", 'Project Info'!$B$18="Restricted Procedure", Int_or_SV="Not applicable"), "No", "Yes")</f>
        <v>No</v>
      </c>
      <c r="E36" s="491" t="s">
        <v>24</v>
      </c>
      <c r="F36" s="490" t="str">
        <f>IF(OR(TBL_002_Dates[[#This Row],[Required?]]="No", TBL_002_Dates[[#This Row],[Type]]="Heading"), "", IF(TBL_002_Dates[[#This Row],[Date]]&lt;&gt;"", "", "Add"))</f>
        <v/>
      </c>
      <c r="G36" s="490" t="str">
        <f>IF(AND(TBL_002_Dates[[#This Row],[Required?]]="Yes", TBL_002_Dates[[#This Row],[Date]]&lt;&gt;""), IF(OR(TBL_002_Dates[[#This Row],[Day of the Week]]="Saturday", TBL_002_Dates[[#This Row],[Day of the Week]]="Sunday"), "Error!", ""), "")</f>
        <v/>
      </c>
      <c r="H36" s="499" t="s">
        <v>940</v>
      </c>
      <c r="I36" s="498" t="s">
        <v>1005</v>
      </c>
      <c r="J36" s="507"/>
    </row>
    <row r="37" spans="1:10" hidden="1">
      <c r="A37" s="491" t="s">
        <v>1233</v>
      </c>
      <c r="B37" s="495" t="str">
        <f>IF(Int_or_SV="Not applicable", "N/A", IF(B36&lt;&gt;"", B36+7, ""))</f>
        <v>N/A</v>
      </c>
      <c r="C37" s="487" t="str">
        <f>IF(TBL_002_Dates[[#This Row],[Date]]="N/A", "", IF(TBL_002_Dates[[#This Row],[Date]]&lt;&gt;"", VLOOKUP(WEEKDAY(TBL_002_Dates[[#This Row],[Date]]), TBL_006_Weekday[], 2, FALSE), ""))</f>
        <v/>
      </c>
      <c r="D37" s="499" t="str">
        <f>IF(OR('Project Info'!$B$18="Open Procedure", 'Project Info'!$B$18="Restricted Procedure", Int_or_SV="Not applicable"), "No", "Yes")</f>
        <v>No</v>
      </c>
      <c r="E37" s="491" t="s">
        <v>24</v>
      </c>
      <c r="F37" s="490" t="str">
        <f>IF(OR(TBL_002_Dates[[#This Row],[Required?]]="No", TBL_002_Dates[[#This Row],[Type]]="Heading"), "", IF(TBL_002_Dates[[#This Row],[Date]]&lt;&gt;"", "", "Add"))</f>
        <v/>
      </c>
      <c r="G37" s="490" t="str">
        <f>IF(AND(TBL_002_Dates[[#This Row],[Required?]]="Yes", TBL_002_Dates[[#This Row],[Date]]&lt;&gt;""), IF(OR(TBL_002_Dates[[#This Row],[Day of the Week]]="Saturday", TBL_002_Dates[[#This Row],[Day of the Week]]="Sunday"), "Error!", ""), "")</f>
        <v/>
      </c>
      <c r="H37" s="499" t="s">
        <v>940</v>
      </c>
      <c r="I37" s="498" t="s">
        <v>1006</v>
      </c>
      <c r="J37" s="507"/>
    </row>
    <row r="38" spans="1:10" hidden="1">
      <c r="A38" s="491" t="s">
        <v>1234</v>
      </c>
      <c r="B38" s="495" t="str">
        <f>IF(Int_or_SV="Not applicable", "N/A", "")</f>
        <v>N/A</v>
      </c>
      <c r="C38" s="487" t="str">
        <f>IF(TBL_002_Dates[[#This Row],[Date]]="N/A", "", IF(TBL_002_Dates[[#This Row],[Date]]&lt;&gt;"", VLOOKUP(WEEKDAY(TBL_002_Dates[[#This Row],[Date]]), TBL_006_Weekday[], 2, FALSE), ""))</f>
        <v/>
      </c>
      <c r="D38" s="499" t="str">
        <f>IF(OR('Project Info'!$B$18="Open Procedure", 'Project Info'!$B$18="Restricted Procedure", Int_or_SV="Not applicable"), "No", "Yes")</f>
        <v>No</v>
      </c>
      <c r="E38" s="491" t="s">
        <v>24</v>
      </c>
      <c r="F38" s="490" t="str">
        <f>IF(OR(TBL_002_Dates[[#This Row],[Required?]]="No", TBL_002_Dates[[#This Row],[Type]]="Heading"), "", IF(TBL_002_Dates[[#This Row],[Date]]&lt;&gt;"", "", "Add"))</f>
        <v/>
      </c>
      <c r="G38" s="490" t="str">
        <f>IF(AND(TBL_002_Dates[[#This Row],[Required?]]="Yes", TBL_002_Dates[[#This Row],[Date]]&lt;&gt;""), IF(OR(TBL_002_Dates[[#This Row],[Day of the Week]]="Saturday", TBL_002_Dates[[#This Row],[Day of the Week]]="Sunday"), "Error!", ""), "")</f>
        <v/>
      </c>
      <c r="H38" s="499" t="s">
        <v>940</v>
      </c>
      <c r="I38" s="498" t="s">
        <v>1007</v>
      </c>
      <c r="J38" s="507"/>
    </row>
    <row r="39" spans="1:10" hidden="1">
      <c r="A39" s="499" t="s">
        <v>1024</v>
      </c>
      <c r="B39" s="495"/>
      <c r="C39" s="487" t="str">
        <f>IF(TBL_002_Dates[[#This Row],[Date]]&lt;&gt;"", VLOOKUP(WEEKDAY(TBL_002_Dates[[#This Row],[Date]]), TBL_006_Weekday[], 2, FALSE), "")</f>
        <v/>
      </c>
      <c r="D39" s="499" t="str">
        <f>IF(OR('Project Info'!$B$18="Open Procedure", 'Project Info'!$B$18="Restricted Procedure"), "No", "Yes")</f>
        <v>No</v>
      </c>
      <c r="E39" s="491" t="s">
        <v>24</v>
      </c>
      <c r="F39" s="499" t="str">
        <f>IF(OR(TBL_002_Dates[[#This Row],[Required?]]="No", TBL_002_Dates[[#This Row],[Type]]="Heading"), "", IF(TBL_002_Dates[[#This Row],[Date]]&lt;&gt;"", "", "Add"))</f>
        <v/>
      </c>
      <c r="G39" s="490" t="str">
        <f>IF(AND(TBL_002_Dates[[#This Row],[Required?]]="Yes", TBL_002_Dates[[#This Row],[Date]]&lt;&gt;""), IF(OR(TBL_002_Dates[[#This Row],[Day of the Week]]="Saturday", TBL_002_Dates[[#This Row],[Day of the Week]]="Sunday"), "Error!", ""), "")</f>
        <v/>
      </c>
      <c r="H39" s="499" t="s">
        <v>940</v>
      </c>
      <c r="I39" s="493" t="s">
        <v>934</v>
      </c>
      <c r="J39" s="507"/>
    </row>
    <row r="40" spans="1:10" hidden="1">
      <c r="A40" s="499" t="s">
        <v>1025</v>
      </c>
      <c r="B40" s="495"/>
      <c r="C40" s="487" t="str">
        <f>IF(TBL_002_Dates[[#This Row],[Date]]&lt;&gt;"", VLOOKUP(WEEKDAY(TBL_002_Dates[[#This Row],[Date]]), TBL_006_Weekday[], 2, FALSE), "")</f>
        <v/>
      </c>
      <c r="D40" s="499" t="str">
        <f>IF(OR('Project Info'!$B$18="Open Procedure", 'Project Info'!$B$18="Restricted Procedure"), "No", "Yes")</f>
        <v>No</v>
      </c>
      <c r="E40" s="491" t="s">
        <v>24</v>
      </c>
      <c r="F40" s="499" t="str">
        <f>IF(OR(TBL_002_Dates[[#This Row],[Required?]]="No", TBL_002_Dates[[#This Row],[Type]]="Heading"), "", IF(TBL_002_Dates[[#This Row],[Date]]&lt;&gt;"", "", "Add"))</f>
        <v/>
      </c>
      <c r="G40" s="490" t="str">
        <f>IF(AND(TBL_002_Dates[[#This Row],[Required?]]="Yes", TBL_002_Dates[[#This Row],[Date]]&lt;&gt;""), IF(OR(TBL_002_Dates[[#This Row],[Day of the Week]]="Saturday", TBL_002_Dates[[#This Row],[Day of the Week]]="Sunday"), "Error!", ""), "")</f>
        <v/>
      </c>
      <c r="H40" s="499" t="s">
        <v>940</v>
      </c>
      <c r="I40" s="493" t="s">
        <v>935</v>
      </c>
      <c r="J40" s="507"/>
    </row>
    <row r="41" spans="1:10">
      <c r="A41" s="502" t="s">
        <v>758</v>
      </c>
      <c r="B41" s="488"/>
      <c r="C41" s="489" t="str">
        <f>IF(TBL_002_Dates[[#This Row],[Date]]&lt;&gt;"", VLOOKUP(WEEKDAY(TBL_002_Dates[[#This Row],[Date]]), TBL_006_Weekday[], 2, FALSE), "")</f>
        <v/>
      </c>
      <c r="D41" s="499" t="s">
        <v>951</v>
      </c>
      <c r="E41" s="491" t="s">
        <v>1197</v>
      </c>
      <c r="F41" s="490" t="str">
        <f>IF(OR(TBL_002_Dates[[#This Row],[Required?]]="No", TBL_002_Dates[[#This Row],[Type]]="Heading"), "", IF(TBL_002_Dates[[#This Row],[Date]]&lt;&gt;"", "", "Add"))</f>
        <v/>
      </c>
      <c r="G41" s="490" t="str">
        <f>IF(AND(TBL_002_Dates[[#This Row],[Required?]]="Yes", TBL_002_Dates[[#This Row],[Date]]&lt;&gt;""), IF(OR(TBL_002_Dates[[#This Row],[Day of the Week]]="Saturday", TBL_002_Dates[[#This Row],[Day of the Week]]="Sunday"), "Error!", ""), "")</f>
        <v/>
      </c>
      <c r="H41" s="493" t="s">
        <v>24</v>
      </c>
      <c r="I41" s="493" t="s">
        <v>24</v>
      </c>
      <c r="J41" s="507"/>
    </row>
    <row r="42" spans="1:10" hidden="1">
      <c r="A42" s="494" t="s">
        <v>173</v>
      </c>
      <c r="B42" s="495" t="str">
        <f>IF(Leaseholders="No", "N/A", "")</f>
        <v>N/A</v>
      </c>
      <c r="C42" s="487" t="str">
        <f>IF(TBL_002_Dates[[#This Row],[Date]]="N/A", "", IF(TBL_002_Dates[[#This Row],[Date]]&lt;&gt;"", VLOOKUP(WEEKDAY(TBL_002_Dates[[#This Row],[Date]]), TBL_006_Weekday[], 2, FALSE), ""))</f>
        <v/>
      </c>
      <c r="D42" s="492" t="str">
        <f>IF(Leaseholders="No", "No", "Yes")</f>
        <v>No</v>
      </c>
      <c r="E42" s="491" t="s">
        <v>24</v>
      </c>
      <c r="F42" s="499" t="str">
        <f>IF(OR(TBL_002_Dates[[#This Row],[Required?]]="No", TBL_002_Dates[[#This Row],[Type]]="Heading"), "", IF(TBL_002_Dates[[#This Row],[Date]]&lt;&gt;"", "", "Add"))</f>
        <v/>
      </c>
      <c r="G42" s="490" t="str">
        <f>IF(AND(TBL_002_Dates[[#This Row],[Required?]]="Yes", TBL_002_Dates[[#This Row],[Date]]&lt;&gt;""), IF(OR(TBL_002_Dates[[#This Row],[Day of the Week]]="Saturday", TBL_002_Dates[[#This Row],[Day of the Week]]="Sunday"), "Error!", ""), "")</f>
        <v/>
      </c>
      <c r="H42" s="493" t="s">
        <v>937</v>
      </c>
      <c r="I42" s="493" t="s">
        <v>938</v>
      </c>
      <c r="J42" s="507"/>
    </row>
    <row r="43" spans="1:10" hidden="1">
      <c r="A43" s="494" t="s">
        <v>174</v>
      </c>
      <c r="B43" s="495" t="str">
        <f>IF(Leaseholders="No", "N/A", IF(B42&lt;&gt;"", B42+35, ""))</f>
        <v>N/A</v>
      </c>
      <c r="C43" s="487" t="str">
        <f>IF(TBL_002_Dates[[#This Row],[Date]]="N/A", "", IF(TBL_002_Dates[[#This Row],[Date]]&lt;&gt;"", VLOOKUP(WEEKDAY(TBL_002_Dates[[#This Row],[Date]]), TBL_006_Weekday[], 2, FALSE), ""))</f>
        <v/>
      </c>
      <c r="D43" s="492" t="str">
        <f>IF(Leaseholders="No", "No", "Yes")</f>
        <v>No</v>
      </c>
      <c r="E43" s="491" t="s">
        <v>24</v>
      </c>
      <c r="F43" s="499" t="str">
        <f>IF(OR(TBL_002_Dates[[#This Row],[Required?]]="No", TBL_002_Dates[[#This Row],[Type]]="Heading"), "", IF(TBL_002_Dates[[#This Row],[Date]]&lt;&gt;"", "", "Add"))</f>
        <v/>
      </c>
      <c r="G43" s="490" t="str">
        <f>IF(AND(TBL_002_Dates[[#This Row],[Required?]]="Yes", TBL_002_Dates[[#This Row],[Date]]&lt;&gt;""), IF(OR(TBL_002_Dates[[#This Row],[Day of the Week]]="Saturday", TBL_002_Dates[[#This Row],[Day of the Week]]="Sunday"), "Error!", ""), "")</f>
        <v/>
      </c>
      <c r="H43" s="493" t="s">
        <v>937</v>
      </c>
      <c r="I43" s="493" t="s">
        <v>939</v>
      </c>
      <c r="J43" s="507"/>
    </row>
    <row r="44" spans="1:10">
      <c r="A44" s="494" t="s">
        <v>58</v>
      </c>
      <c r="B44" s="495">
        <f>B21+1</f>
        <v>44350</v>
      </c>
      <c r="C44" s="487" t="str">
        <f>IF(TBL_002_Dates[[#This Row],[Date]]&lt;&gt;"", VLOOKUP(WEEKDAY(TBL_002_Dates[[#This Row],[Date]]), TBL_006_Weekday[], 2, FALSE), "")</f>
        <v>Thursday</v>
      </c>
      <c r="D44" s="492" t="s">
        <v>951</v>
      </c>
      <c r="E44" s="491" t="s">
        <v>24</v>
      </c>
      <c r="F44" s="490" t="str">
        <f>IF(OR(TBL_002_Dates[[#This Row],[Required?]]="No", TBL_002_Dates[[#This Row],[Type]]="Heading"), "", IF(TBL_002_Dates[[#This Row],[Date]]&lt;&gt;"", "", "Add"))</f>
        <v/>
      </c>
      <c r="G44" s="490" t="str">
        <f>IF(AND(TBL_002_Dates[[#This Row],[Required?]]="Yes", TBL_002_Dates[[#This Row],[Date]]&lt;&gt;""), IF(OR(TBL_002_Dates[[#This Row],[Day of the Week]]="Saturday", TBL_002_Dates[[#This Row],[Day of the Week]]="Sunday"), "Error!", ""), "")</f>
        <v/>
      </c>
      <c r="H44" s="493" t="s">
        <v>940</v>
      </c>
      <c r="I44" s="493" t="s">
        <v>758</v>
      </c>
      <c r="J44" s="507"/>
    </row>
    <row r="45" spans="1:10">
      <c r="A45" s="487" t="s">
        <v>159</v>
      </c>
      <c r="B45" s="488"/>
      <c r="C45" s="489" t="s">
        <v>160</v>
      </c>
      <c r="D45" s="492" t="s">
        <v>951</v>
      </c>
      <c r="E45" s="491" t="s">
        <v>1197</v>
      </c>
      <c r="F45" s="490" t="str">
        <f>IF(OR(TBL_002_Dates[[#This Row],[Required?]]="No", TBL_002_Dates[[#This Row],[Type]]="Heading"), "", IF(TBL_002_Dates[[#This Row],[Date]]&lt;&gt;"", "", "Add"))</f>
        <v/>
      </c>
      <c r="G45" s="490" t="str">
        <f>IF(AND(TBL_002_Dates[[#This Row],[Required?]]="Yes", TBL_002_Dates[[#This Row],[Date]]&lt;&gt;""), IF(OR(TBL_002_Dates[[#This Row],[Day of the Week]]="Saturday", TBL_002_Dates[[#This Row],[Day of the Week]]="Sunday"), "Error!", ""), "")</f>
        <v/>
      </c>
      <c r="H45" s="493" t="s">
        <v>24</v>
      </c>
      <c r="I45" s="493" t="s">
        <v>24</v>
      </c>
      <c r="J45" s="507"/>
    </row>
    <row r="46" spans="1:10">
      <c r="A46" s="493" t="s">
        <v>945</v>
      </c>
      <c r="B46" s="495">
        <f>IF(B44&lt;&gt;"", IF(OR(TBL_002_Dates[[#This Row],[Working day?]]="Saturday",TBL_002_Dates[[#This Row],[Working day?]]="Sunday"), IF(TBL_002_Dates[[#This Row],[Working day?]]="Saturday", B44+3, B44+2), B44+1), "N/A")</f>
        <v>44351</v>
      </c>
      <c r="C46" s="487" t="str">
        <f>IF(TBL_002_Dates[[#This Row],[Date]]="N/A", "", IF(TBL_002_Dates[[#This Row],[Date]]&lt;&gt;"", VLOOKUP(WEEKDAY(TBL_002_Dates[[#This Row],[Date]]), TBL_006_Weekday[], 2, FALSE), ""))</f>
        <v>Friday</v>
      </c>
      <c r="D46" s="492" t="s">
        <v>951</v>
      </c>
      <c r="E46" s="491" t="s">
        <v>24</v>
      </c>
      <c r="F46" s="490" t="str">
        <f>IF(OR(TBL_002_Dates[[#This Row],[Required?]]="No", TBL_002_Dates[[#This Row],[Type]]="Heading"), "", IF(TBL_002_Dates[[#This Row],[Date]]&lt;&gt;"", "", "Add"))</f>
        <v/>
      </c>
      <c r="G46" s="506" t="str">
        <f>IF(B44&lt;&gt;"", VLOOKUP(WEEKDAY(B44+11), TBL_006_Weekday[], 2, FALSE), "")</f>
        <v>Monday</v>
      </c>
      <c r="H46" s="493" t="s">
        <v>941</v>
      </c>
      <c r="I46" s="493" t="s">
        <v>938</v>
      </c>
      <c r="J46" s="507"/>
    </row>
    <row r="47" spans="1:10" hidden="1">
      <c r="A47" s="494" t="s">
        <v>15</v>
      </c>
      <c r="B47" s="495"/>
      <c r="C47" s="487" t="str">
        <f>IF(TBL_002_Dates[[#This Row],[Date]]&lt;&gt;"", VLOOKUP(WEEKDAY(TBL_002_Dates[[#This Row],[Date]]), TBL_006_Weekday[], 2, FALSE), "")</f>
        <v/>
      </c>
      <c r="D47" s="491" t="s">
        <v>762</v>
      </c>
      <c r="E47" s="491" t="s">
        <v>24</v>
      </c>
      <c r="F47" s="490" t="str">
        <f>IF(OR(TBL_002_Dates[[#This Row],[Required?]]="No", TBL_002_Dates[[#This Row],[Type]]="Heading"), "", IF(TBL_002_Dates[[#This Row],[Date]]&lt;&gt;"", "", "Add"))</f>
        <v/>
      </c>
      <c r="G47" s="490" t="str">
        <f>IF(AND(TBL_002_Dates[[#This Row],[Required?]]="Yes", TBL_002_Dates[[#This Row],[Date]]&lt;&gt;""), IF(OR(TBL_002_Dates[[#This Row],[Day of the Week]]="Saturday", TBL_002_Dates[[#This Row],[Day of the Week]]="Sunday"), "Error!", ""), "")</f>
        <v/>
      </c>
      <c r="H47" s="493" t="s">
        <v>942</v>
      </c>
      <c r="I47" s="493" t="s">
        <v>942</v>
      </c>
      <c r="J47" s="507"/>
    </row>
    <row r="48" spans="1:10">
      <c r="A48" s="494" t="s">
        <v>16</v>
      </c>
      <c r="B48" s="495">
        <v>44378</v>
      </c>
      <c r="C48" s="487" t="str">
        <f>IF(TBL_002_Dates[[#This Row],[Date]]&lt;&gt;"", VLOOKUP(WEEKDAY(TBL_002_Dates[[#This Row],[Date]]), TBL_006_Weekday[], 2, FALSE), "")</f>
        <v>Thursday</v>
      </c>
      <c r="D48" s="492" t="s">
        <v>951</v>
      </c>
      <c r="E48" s="491" t="s">
        <v>24</v>
      </c>
      <c r="F48" s="490" t="str">
        <f>IF(OR(TBL_002_Dates[[#This Row],[Required?]]="No", TBL_002_Dates[[#This Row],[Type]]="Heading"), "", IF(TBL_002_Dates[[#This Row],[Date]]&lt;&gt;"", "", "Add"))</f>
        <v/>
      </c>
      <c r="G48" s="490" t="str">
        <f>IF(AND(TBL_002_Dates[[#This Row],[Required?]]="Yes", TBL_002_Dates[[#This Row],[Date]]&lt;&gt;""), IF(OR(TBL_002_Dates[[#This Row],[Day of the Week]]="Saturday", TBL_002_Dates[[#This Row],[Day of the Week]]="Sunday"), "Error!", ""), "")</f>
        <v/>
      </c>
      <c r="H48" s="493" t="s">
        <v>943</v>
      </c>
      <c r="I48" s="493" t="s">
        <v>943</v>
      </c>
      <c r="J48" s="507"/>
    </row>
    <row r="49" spans="1:10" hidden="1">
      <c r="A49" s="494" t="s">
        <v>104</v>
      </c>
      <c r="B49" s="495"/>
      <c r="C49" s="487" t="str">
        <f>IF(TBL_002_Dates[[#This Row],[Date]]&lt;&gt;"", VLOOKUP(WEEKDAY(TBL_002_Dates[[#This Row],[Date]]), TBL_006_Weekday[], 2, FALSE), "")</f>
        <v/>
      </c>
      <c r="D49" s="491" t="s">
        <v>762</v>
      </c>
      <c r="E49" s="491" t="s">
        <v>24</v>
      </c>
      <c r="F49" s="499" t="str">
        <f>IF(OR(TBL_002_Dates[[#This Row],[Required?]]="No", TBL_002_Dates[[#This Row],[Type]]="Heading"), "", IF(TBL_002_Dates[[#This Row],[Date]]&lt;&gt;"", "", "Add"))</f>
        <v/>
      </c>
      <c r="G49" s="490" t="str">
        <f>IF(AND(TBL_002_Dates[[#This Row],[Required?]]="Yes", TBL_002_Dates[[#This Row],[Date]]&lt;&gt;""), IF(OR(TBL_002_Dates[[#This Row],[Day of the Week]]="Saturday", TBL_002_Dates[[#This Row],[Day of the Week]]="Sunday"), "Error!", ""), "")</f>
        <v/>
      </c>
      <c r="H49" s="493" t="s">
        <v>944</v>
      </c>
      <c r="I49" s="493" t="s">
        <v>944</v>
      </c>
      <c r="J49" s="507"/>
    </row>
  </sheetData>
  <sheetProtection algorithmName="SHA-512" hashValue="0/9f3KKccO4OzayRbRk8vf+Sdr2h/rlqiOC2SlErtkH+L6F1+Q8d6RErZyvD/mKZ6twnfeyb8mCSfI7d2om89Q==" saltValue="J6xzdo4hYLqwWWCgHCo4ZA==" spinCount="100000" sheet="1" autoFilter="0"/>
  <protectedRanges>
    <protectedRange sqref="B2:B49" name="Dates"/>
  </protectedRanges>
  <conditionalFormatting sqref="B2:B49">
    <cfRule type="expression" dxfId="510" priority="16">
      <formula>INDIRECT("F"&amp;ROW())="Add"</formula>
    </cfRule>
  </conditionalFormatting>
  <conditionalFormatting sqref="K1">
    <cfRule type="containsText" dxfId="509" priority="1" operator="containsText" text="Incomplete">
      <formula>NOT(ISERROR(SEARCH("Incomplete",K1)))</formula>
    </cfRule>
  </conditionalFormatting>
  <conditionalFormatting sqref="A2:I49">
    <cfRule type="expression" dxfId="508" priority="2">
      <formula>INDIRECT("E"&amp;ROW())="Heading"</formula>
    </cfRule>
    <cfRule type="expression" dxfId="507" priority="4">
      <formula>INDIRECT("D"&amp;ROW())="No"</formula>
    </cfRule>
  </conditionalFormatting>
  <conditionalFormatting sqref="A2:C49">
    <cfRule type="expression" dxfId="506" priority="15">
      <formula>INDIRECT("G"&amp;ROW())="Error!"</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M8"/>
  <sheetViews>
    <sheetView topLeftCell="A9" workbookViewId="0">
      <selection activeCell="F38" sqref="F38"/>
    </sheetView>
  </sheetViews>
  <sheetFormatPr baseColWidth="10" defaultColWidth="9.1640625" defaultRowHeight="14"/>
  <cols>
    <col min="1" max="1" width="9.1640625" style="1"/>
    <col min="2" max="2" width="9.6640625" style="1" bestFit="1" customWidth="1"/>
    <col min="3" max="3" width="10.33203125" style="1" customWidth="1"/>
    <col min="4" max="4" width="20.5" style="1" bestFit="1" customWidth="1"/>
    <col min="5" max="5" width="8.6640625" style="1" customWidth="1"/>
    <col min="6" max="6" width="48.33203125" style="1" customWidth="1"/>
    <col min="7" max="7" width="25" style="1" bestFit="1" customWidth="1"/>
    <col min="8" max="8" width="20.1640625" style="1" customWidth="1"/>
    <col min="9" max="9" width="16.83203125" style="1" bestFit="1" customWidth="1"/>
    <col min="10" max="10" width="15.33203125" style="1" bestFit="1" customWidth="1"/>
    <col min="11" max="12" width="9.5" style="1" bestFit="1" customWidth="1"/>
    <col min="13" max="13" width="33.5" style="1" customWidth="1"/>
    <col min="14" max="14" width="20.1640625" style="1" customWidth="1"/>
    <col min="15" max="15" width="12.5" style="1" bestFit="1" customWidth="1"/>
    <col min="16" max="16" width="25.1640625" style="1" customWidth="1"/>
    <col min="17" max="17" width="13.1640625" style="1" bestFit="1" customWidth="1"/>
    <col min="18" max="18" width="14.1640625" style="1" customWidth="1"/>
    <col min="19" max="19" width="13.5" style="1" bestFit="1" customWidth="1"/>
    <col min="20" max="20" width="15.6640625" style="1" bestFit="1" customWidth="1"/>
    <col min="21" max="21" width="27" style="1" bestFit="1" customWidth="1"/>
    <col min="22" max="22" width="17.5" style="1" bestFit="1" customWidth="1"/>
    <col min="23" max="23" width="7.1640625" style="1" bestFit="1" customWidth="1"/>
    <col min="24" max="24" width="10.6640625" style="1" bestFit="1" customWidth="1"/>
    <col min="25" max="25" width="14.1640625" style="1" bestFit="1" customWidth="1"/>
    <col min="26" max="26" width="21.6640625" style="1" bestFit="1" customWidth="1"/>
    <col min="27" max="27" width="17.1640625" style="1" bestFit="1" customWidth="1"/>
    <col min="28" max="28" width="19.6640625" style="1" bestFit="1" customWidth="1"/>
    <col min="29" max="29" width="15.33203125" style="1" bestFit="1" customWidth="1"/>
    <col min="30" max="30" width="20.6640625" style="1" bestFit="1" customWidth="1"/>
    <col min="31" max="31" width="21.33203125" style="1" bestFit="1" customWidth="1"/>
    <col min="32" max="32" width="13.1640625" style="1" bestFit="1" customWidth="1"/>
    <col min="33" max="33" width="14" style="1" bestFit="1" customWidth="1"/>
    <col min="34" max="34" width="16.6640625" style="1" bestFit="1" customWidth="1"/>
    <col min="35" max="35" width="15.83203125" style="1" bestFit="1" customWidth="1"/>
    <col min="36" max="36" width="16.1640625" style="1" bestFit="1" customWidth="1"/>
    <col min="37" max="37" width="17.6640625" style="1" bestFit="1" customWidth="1"/>
    <col min="38" max="38" width="22.6640625" style="1" bestFit="1" customWidth="1"/>
    <col min="39" max="39" width="15.33203125" style="1" bestFit="1" customWidth="1"/>
    <col min="40" max="40" width="21.33203125" style="1" bestFit="1" customWidth="1"/>
    <col min="41" max="41" width="21.1640625" style="1" bestFit="1" customWidth="1"/>
    <col min="42" max="42" width="16.5" style="1" bestFit="1" customWidth="1"/>
    <col min="43" max="43" width="13.33203125" style="1" bestFit="1" customWidth="1"/>
    <col min="44" max="44" width="13.1640625" style="1" bestFit="1" customWidth="1"/>
    <col min="45" max="45" width="13.5" style="1" bestFit="1" customWidth="1"/>
    <col min="46" max="46" width="8.1640625" style="1" bestFit="1" customWidth="1"/>
    <col min="47" max="47" width="12.83203125" style="1" bestFit="1" customWidth="1"/>
    <col min="48" max="48" width="24.33203125" style="1" bestFit="1" customWidth="1"/>
    <col min="49" max="49" width="18.33203125" style="1" bestFit="1" customWidth="1"/>
    <col min="50" max="50" width="15.83203125" style="1" bestFit="1" customWidth="1"/>
    <col min="51" max="51" width="21.6640625" style="1" bestFit="1" customWidth="1"/>
    <col min="52" max="52" width="13.33203125" style="1" bestFit="1" customWidth="1"/>
    <col min="53" max="53" width="15" style="1" bestFit="1" customWidth="1"/>
    <col min="54" max="54" width="9.6640625" style="1" bestFit="1" customWidth="1"/>
    <col min="55" max="55" width="17.83203125" style="1" bestFit="1" customWidth="1"/>
    <col min="56" max="56" width="28.6640625" style="1" bestFit="1" customWidth="1"/>
    <col min="57" max="57" width="19.5" style="1" bestFit="1" customWidth="1"/>
    <col min="58" max="58" width="19.33203125" style="1" bestFit="1" customWidth="1"/>
    <col min="59" max="59" width="23.33203125" style="1" bestFit="1" customWidth="1"/>
    <col min="60" max="60" width="22.6640625" style="1" bestFit="1" customWidth="1"/>
    <col min="61" max="61" width="16.6640625" style="1" bestFit="1" customWidth="1"/>
    <col min="62" max="62" width="13.6640625" style="1" bestFit="1" customWidth="1"/>
    <col min="63" max="63" width="24.5" style="1" bestFit="1" customWidth="1"/>
    <col min="64" max="64" width="15.33203125" style="1" bestFit="1" customWidth="1"/>
    <col min="65" max="65" width="15.1640625" style="1" bestFit="1" customWidth="1"/>
    <col min="66" max="66" width="19.1640625" style="1" bestFit="1" customWidth="1"/>
    <col min="67" max="68" width="18.33203125" style="1" bestFit="1" customWidth="1"/>
    <col min="69" max="69" width="13.1640625" style="1" bestFit="1" customWidth="1"/>
    <col min="70" max="70" width="12.1640625" style="1" bestFit="1" customWidth="1"/>
    <col min="71" max="71" width="21.83203125" style="1" bestFit="1" customWidth="1"/>
    <col min="72" max="73" width="18.83203125" style="1" bestFit="1" customWidth="1"/>
    <col min="74" max="74" width="9" style="1" bestFit="1" customWidth="1"/>
    <col min="75" max="75" width="16" style="1" bestFit="1" customWidth="1"/>
    <col min="76" max="76" width="22.1640625" style="1" bestFit="1" customWidth="1"/>
    <col min="77" max="77" width="15.83203125" style="1" bestFit="1" customWidth="1"/>
    <col min="78" max="78" width="13.5" style="1" bestFit="1" customWidth="1"/>
    <col min="79" max="79" width="15.1640625" style="1" bestFit="1" customWidth="1"/>
    <col min="80" max="80" width="21" style="1" bestFit="1" customWidth="1"/>
    <col min="81" max="81" width="16.5" style="1" bestFit="1" customWidth="1"/>
    <col min="82" max="82" width="15.33203125" style="1" bestFit="1" customWidth="1"/>
    <col min="83" max="83" width="20.5" style="1" customWidth="1"/>
    <col min="84" max="84" width="20.33203125" style="1" bestFit="1" customWidth="1"/>
    <col min="85" max="85" width="20.1640625" style="1" bestFit="1" customWidth="1"/>
    <col min="86" max="86" width="19.6640625" style="1" bestFit="1" customWidth="1"/>
    <col min="87" max="87" width="19.5" style="1" bestFit="1" customWidth="1"/>
    <col min="88" max="88" width="19.83203125" style="1" bestFit="1" customWidth="1"/>
    <col min="89" max="89" width="15.1640625" style="1" bestFit="1" customWidth="1"/>
    <col min="90" max="90" width="21" style="1" bestFit="1" customWidth="1"/>
    <col min="91" max="91" width="16.5" style="1" bestFit="1" customWidth="1"/>
    <col min="92" max="92" width="15.33203125" style="1" bestFit="1" customWidth="1"/>
    <col min="93" max="93" width="14.33203125" style="1" bestFit="1" customWidth="1"/>
    <col min="94" max="94" width="20.33203125" style="1" bestFit="1" customWidth="1"/>
    <col min="95" max="95" width="20.1640625" style="1" bestFit="1" customWidth="1"/>
    <col min="96" max="96" width="19.6640625" style="1" bestFit="1" customWidth="1"/>
    <col min="97" max="97" width="19.5" style="1" bestFit="1" customWidth="1"/>
    <col min="98" max="98" width="19.83203125" style="1" bestFit="1" customWidth="1"/>
    <col min="99" max="99" width="15.1640625" style="1" bestFit="1" customWidth="1"/>
    <col min="100" max="100" width="21" style="1" bestFit="1" customWidth="1"/>
    <col min="101" max="101" width="16.5" style="1" bestFit="1" customWidth="1"/>
    <col min="102" max="102" width="15.33203125" style="1" bestFit="1" customWidth="1"/>
    <col min="103" max="103" width="15.33203125" style="1" customWidth="1"/>
    <col min="104" max="104" width="20.33203125" style="1" bestFit="1" customWidth="1"/>
    <col min="105" max="105" width="20.1640625" style="1" bestFit="1" customWidth="1"/>
    <col min="106" max="106" width="19.6640625" style="1" bestFit="1" customWidth="1"/>
    <col min="107" max="107" width="19.5" style="1" bestFit="1" customWidth="1"/>
    <col min="108" max="108" width="19.83203125" style="1" bestFit="1" customWidth="1"/>
    <col min="109" max="109" width="15.1640625" style="1" bestFit="1" customWidth="1"/>
    <col min="110" max="110" width="21" style="1" bestFit="1" customWidth="1"/>
    <col min="111" max="111" width="16.5" style="1" bestFit="1" customWidth="1"/>
    <col min="112" max="112" width="15.33203125" style="1" bestFit="1" customWidth="1"/>
    <col min="113" max="113" width="15.33203125" style="1" customWidth="1"/>
    <col min="114" max="114" width="20.33203125" style="1" bestFit="1" customWidth="1"/>
    <col min="115" max="115" width="20.1640625" style="1" bestFit="1" customWidth="1"/>
    <col min="116" max="116" width="19.6640625" style="1" bestFit="1" customWidth="1"/>
    <col min="117" max="117" width="19.5" style="1" bestFit="1" customWidth="1"/>
    <col min="118" max="118" width="19.83203125" style="1" bestFit="1" customWidth="1"/>
    <col min="119" max="119" width="15.1640625" style="1" bestFit="1" customWidth="1"/>
    <col min="120" max="120" width="21" style="1" bestFit="1" customWidth="1"/>
    <col min="121" max="121" width="16.5" style="1" bestFit="1" customWidth="1"/>
    <col min="122" max="122" width="15.33203125" style="1" bestFit="1" customWidth="1"/>
    <col min="123" max="123" width="14.33203125" style="1" bestFit="1" customWidth="1"/>
    <col min="124" max="124" width="20.33203125" style="1" bestFit="1" customWidth="1"/>
    <col min="125" max="125" width="20.1640625" style="1" bestFit="1" customWidth="1"/>
    <col min="126" max="126" width="19.6640625" style="1" bestFit="1" customWidth="1"/>
    <col min="127" max="132" width="19.6640625" style="1" customWidth="1"/>
    <col min="133" max="133" width="19.5" style="1" bestFit="1" customWidth="1"/>
    <col min="134" max="134" width="19.83203125" style="1" bestFit="1" customWidth="1"/>
    <col min="135" max="138" width="19.83203125" style="1" customWidth="1"/>
    <col min="139" max="139" width="16.1640625" style="1" bestFit="1" customWidth="1"/>
    <col min="140" max="140" width="14" style="1" bestFit="1" customWidth="1"/>
    <col min="141" max="141" width="17" style="1" bestFit="1" customWidth="1"/>
    <col min="142" max="142" width="17.33203125" style="1" bestFit="1" customWidth="1"/>
    <col min="143" max="143" width="18" style="1" bestFit="1" customWidth="1"/>
    <col min="144" max="16384" width="9.1640625" style="1"/>
  </cols>
  <sheetData>
    <row r="1" spans="1:143" hidden="1">
      <c r="A1" s="503" t="s">
        <v>794</v>
      </c>
      <c r="B1" s="509" t="s">
        <v>1196</v>
      </c>
      <c r="C1" s="509" t="s">
        <v>62</v>
      </c>
      <c r="D1" s="503" t="s">
        <v>31</v>
      </c>
      <c r="E1" s="503" t="s">
        <v>32</v>
      </c>
      <c r="F1" s="503" t="s">
        <v>33</v>
      </c>
      <c r="G1" s="503" t="s">
        <v>103</v>
      </c>
      <c r="H1" s="503" t="s">
        <v>34</v>
      </c>
      <c r="I1" s="503" t="s">
        <v>35</v>
      </c>
      <c r="J1" s="503" t="s">
        <v>47</v>
      </c>
      <c r="K1" s="503" t="s">
        <v>98</v>
      </c>
      <c r="L1" s="503" t="s">
        <v>97</v>
      </c>
      <c r="M1" s="504" t="s">
        <v>1136</v>
      </c>
      <c r="N1" s="504" t="s">
        <v>1137</v>
      </c>
      <c r="O1" s="504" t="s">
        <v>1138</v>
      </c>
      <c r="P1" s="503" t="s">
        <v>198</v>
      </c>
      <c r="Q1" s="503" t="s">
        <v>1004</v>
      </c>
      <c r="R1" s="503" t="s">
        <v>927</v>
      </c>
      <c r="S1" s="503" t="s">
        <v>1018</v>
      </c>
      <c r="T1" s="503" t="s">
        <v>1151</v>
      </c>
      <c r="U1" s="503" t="s">
        <v>36</v>
      </c>
      <c r="V1" s="503" t="s">
        <v>37</v>
      </c>
      <c r="W1" s="503" t="s">
        <v>1000</v>
      </c>
      <c r="X1" s="503" t="s">
        <v>955</v>
      </c>
      <c r="Y1" s="503" t="s">
        <v>38</v>
      </c>
      <c r="Z1" s="503" t="s">
        <v>953</v>
      </c>
      <c r="AA1" s="503" t="s">
        <v>39</v>
      </c>
      <c r="AB1" s="503" t="s">
        <v>40</v>
      </c>
      <c r="AC1" s="503" t="s">
        <v>1072</v>
      </c>
      <c r="AD1" s="503" t="s">
        <v>60</v>
      </c>
      <c r="AE1" s="503" t="s">
        <v>135</v>
      </c>
      <c r="AF1" s="503" t="s">
        <v>162</v>
      </c>
      <c r="AG1" s="503" t="s">
        <v>954</v>
      </c>
      <c r="AH1" s="503" t="s">
        <v>165</v>
      </c>
      <c r="AI1" s="503" t="s">
        <v>41</v>
      </c>
      <c r="AJ1" s="503" t="s">
        <v>42</v>
      </c>
      <c r="AK1" s="503" t="s">
        <v>136</v>
      </c>
      <c r="AL1" s="503" t="s">
        <v>43</v>
      </c>
      <c r="AM1" s="503" t="s">
        <v>44</v>
      </c>
      <c r="AN1" s="503" t="s">
        <v>167</v>
      </c>
      <c r="AO1" s="503" t="s">
        <v>166</v>
      </c>
      <c r="AP1" s="503" t="s">
        <v>14</v>
      </c>
      <c r="AQ1" s="503" t="s">
        <v>46</v>
      </c>
      <c r="AR1" s="503" t="s">
        <v>45</v>
      </c>
      <c r="AS1" s="503" t="s">
        <v>1008</v>
      </c>
      <c r="AT1" s="503" t="s">
        <v>48</v>
      </c>
      <c r="AU1" s="503" t="s">
        <v>49</v>
      </c>
      <c r="AV1" s="503" t="s">
        <v>50</v>
      </c>
      <c r="AW1" s="503" t="s">
        <v>51</v>
      </c>
      <c r="AX1" s="503" t="s">
        <v>52</v>
      </c>
      <c r="AY1" s="503" t="s">
        <v>1098</v>
      </c>
      <c r="AZ1" s="503" t="s">
        <v>874</v>
      </c>
      <c r="BA1" s="503" t="s">
        <v>172</v>
      </c>
      <c r="BB1" s="503" t="s">
        <v>919</v>
      </c>
      <c r="BC1" s="510" t="s">
        <v>763</v>
      </c>
      <c r="BD1" s="510" t="s">
        <v>764</v>
      </c>
      <c r="BE1" s="510" t="s">
        <v>765</v>
      </c>
      <c r="BF1" s="510" t="s">
        <v>766</v>
      </c>
      <c r="BG1" s="510" t="s">
        <v>767</v>
      </c>
      <c r="BH1" s="510" t="s">
        <v>768</v>
      </c>
      <c r="BI1" s="510" t="s">
        <v>769</v>
      </c>
      <c r="BJ1" s="503" t="s">
        <v>53</v>
      </c>
      <c r="BK1" s="503" t="s">
        <v>54</v>
      </c>
      <c r="BL1" s="503" t="s">
        <v>55</v>
      </c>
      <c r="BM1" s="503" t="s">
        <v>140</v>
      </c>
      <c r="BN1" s="503" t="s">
        <v>56</v>
      </c>
      <c r="BO1" s="503" t="s">
        <v>57</v>
      </c>
      <c r="BP1" s="503" t="s">
        <v>1073</v>
      </c>
      <c r="BQ1" s="503" t="s">
        <v>947</v>
      </c>
      <c r="BR1" s="503" t="s">
        <v>95</v>
      </c>
      <c r="BS1" s="503" t="s">
        <v>59</v>
      </c>
      <c r="BT1" s="503" t="s">
        <v>118</v>
      </c>
      <c r="BU1" s="503" t="s">
        <v>119</v>
      </c>
      <c r="BV1" s="503" t="s">
        <v>141</v>
      </c>
      <c r="BW1" s="503" t="s">
        <v>1152</v>
      </c>
      <c r="BX1" s="503" t="s">
        <v>1153</v>
      </c>
      <c r="BY1" s="503" t="s">
        <v>968</v>
      </c>
      <c r="BZ1" s="503" t="s">
        <v>1140</v>
      </c>
      <c r="CA1" s="503" t="s">
        <v>810</v>
      </c>
      <c r="CB1" s="503" t="s">
        <v>811</v>
      </c>
      <c r="CC1" s="503" t="s">
        <v>1176</v>
      </c>
      <c r="CD1" s="503" t="s">
        <v>812</v>
      </c>
      <c r="CE1" s="503" t="s">
        <v>1181</v>
      </c>
      <c r="CF1" s="503" t="s">
        <v>813</v>
      </c>
      <c r="CG1" s="503" t="s">
        <v>814</v>
      </c>
      <c r="CH1" s="503" t="s">
        <v>815</v>
      </c>
      <c r="CI1" s="503" t="s">
        <v>816</v>
      </c>
      <c r="CJ1" s="503" t="s">
        <v>817</v>
      </c>
      <c r="CK1" s="503" t="s">
        <v>818</v>
      </c>
      <c r="CL1" s="503" t="s">
        <v>819</v>
      </c>
      <c r="CM1" s="503" t="s">
        <v>1177</v>
      </c>
      <c r="CN1" s="503" t="s">
        <v>820</v>
      </c>
      <c r="CO1" s="503" t="s">
        <v>1182</v>
      </c>
      <c r="CP1" s="503" t="s">
        <v>821</v>
      </c>
      <c r="CQ1" s="503" t="s">
        <v>822</v>
      </c>
      <c r="CR1" s="503" t="s">
        <v>823</v>
      </c>
      <c r="CS1" s="503" t="s">
        <v>824</v>
      </c>
      <c r="CT1" s="503" t="s">
        <v>825</v>
      </c>
      <c r="CU1" s="503" t="s">
        <v>826</v>
      </c>
      <c r="CV1" s="503" t="s">
        <v>827</v>
      </c>
      <c r="CW1" s="503" t="s">
        <v>1178</v>
      </c>
      <c r="CX1" s="503" t="s">
        <v>828</v>
      </c>
      <c r="CY1" s="503" t="s">
        <v>1183</v>
      </c>
      <c r="CZ1" s="503" t="s">
        <v>829</v>
      </c>
      <c r="DA1" s="503" t="s">
        <v>830</v>
      </c>
      <c r="DB1" s="503" t="s">
        <v>831</v>
      </c>
      <c r="DC1" s="503" t="s">
        <v>832</v>
      </c>
      <c r="DD1" s="503" t="s">
        <v>833</v>
      </c>
      <c r="DE1" s="503" t="s">
        <v>834</v>
      </c>
      <c r="DF1" s="503" t="s">
        <v>835</v>
      </c>
      <c r="DG1" s="503" t="s">
        <v>1179</v>
      </c>
      <c r="DH1" s="503" t="s">
        <v>836</v>
      </c>
      <c r="DI1" s="503" t="s">
        <v>1195</v>
      </c>
      <c r="DJ1" s="503" t="s">
        <v>837</v>
      </c>
      <c r="DK1" s="503" t="s">
        <v>838</v>
      </c>
      <c r="DL1" s="503" t="s">
        <v>839</v>
      </c>
      <c r="DM1" s="503" t="s">
        <v>840</v>
      </c>
      <c r="DN1" s="503" t="s">
        <v>841</v>
      </c>
      <c r="DO1" s="503" t="s">
        <v>842</v>
      </c>
      <c r="DP1" s="503" t="s">
        <v>843</v>
      </c>
      <c r="DQ1" s="503" t="s">
        <v>1180</v>
      </c>
      <c r="DR1" s="503" t="s">
        <v>844</v>
      </c>
      <c r="DS1" s="503" t="s">
        <v>1184</v>
      </c>
      <c r="DT1" s="503" t="s">
        <v>845</v>
      </c>
      <c r="DU1" s="503" t="s">
        <v>846</v>
      </c>
      <c r="DV1" s="503" t="s">
        <v>847</v>
      </c>
      <c r="DW1" s="503" t="s">
        <v>848</v>
      </c>
      <c r="DX1" s="503" t="s">
        <v>849</v>
      </c>
      <c r="DY1" s="503" t="s">
        <v>1261</v>
      </c>
      <c r="DZ1" s="503" t="s">
        <v>1262</v>
      </c>
      <c r="EA1" s="503" t="s">
        <v>1263</v>
      </c>
      <c r="EB1" s="503" t="s">
        <v>1264</v>
      </c>
      <c r="EC1" s="503" t="s">
        <v>1265</v>
      </c>
      <c r="ED1" s="503" t="s">
        <v>1266</v>
      </c>
      <c r="EE1" s="503" t="s">
        <v>1267</v>
      </c>
      <c r="EF1" s="503" t="s">
        <v>1268</v>
      </c>
      <c r="EG1" s="503" t="s">
        <v>1269</v>
      </c>
      <c r="EH1" s="503" t="s">
        <v>1270</v>
      </c>
      <c r="EI1" s="503" t="s">
        <v>869</v>
      </c>
      <c r="EJ1" s="503" t="s">
        <v>870</v>
      </c>
      <c r="EK1" s="503" t="s">
        <v>1049</v>
      </c>
      <c r="EL1" s="503" t="s">
        <v>1157</v>
      </c>
      <c r="EM1" s="511" t="s">
        <v>1101</v>
      </c>
    </row>
    <row r="2" spans="1:143" s="6" customFormat="1" ht="28" hidden="1">
      <c r="A2" s="512" t="s">
        <v>1156</v>
      </c>
      <c r="B2" s="524" t="s">
        <v>789</v>
      </c>
      <c r="C2" s="513" t="str">
        <f>'Project Info'!$B$3</f>
        <v>T1-5622</v>
      </c>
      <c r="D2" s="470" t="str">
        <f>'Project Info'!$B$7</f>
        <v>Islington and Shoreditch Housing Association</v>
      </c>
      <c r="E2" s="470" t="str">
        <f>'Project Info'!$B$8</f>
        <v>ISHA</v>
      </c>
      <c r="F2" s="470" t="str">
        <f>'Project Info'!$B$9</f>
        <v>Dynamic Purchasing System - Responsive Repairs and Voids</v>
      </c>
      <c r="G2" s="470" t="str">
        <f>'Project Info'!$B$10</f>
        <v>reactive maintenance services</v>
      </c>
      <c r="H2" s="470" t="str">
        <f>'Project Info'!$B$11</f>
        <v xml:space="preserve">102 Blackstock Road, London N4 2DR </v>
      </c>
      <c r="I2" s="470" t="str">
        <f>'Project Info'!$B$12</f>
        <v>North and East London</v>
      </c>
      <c r="J2" s="470" t="str">
        <f>'Project Info'!$B$4</f>
        <v>Emma Pell</v>
      </c>
      <c r="K2" s="470" t="str">
        <f>'Project Info'!$C$4</f>
        <v>EP</v>
      </c>
      <c r="L2" s="470" t="str">
        <f>'Project Info'!$B$5</f>
        <v>Jennifer Hopkins</v>
      </c>
      <c r="M2" s="470" t="str">
        <f>IF('Project Info'!$B$6&lt;&gt;"", VLOOKUP('Project Info'!$B$6, TBL_033_Offices[], 2, FALSE), "To be added")</f>
        <v>Central Court, Knoll Rise, Orpington, BR6 0JA</v>
      </c>
      <c r="N2" s="470" t="str">
        <f>IF('Project Info'!$B$6&lt;&gt;"", VLOOKUP('Project Info'!$B$6, TBL_033_Offices[], 3, FALSE), "To be added")</f>
        <v>01689 885 080</v>
      </c>
      <c r="O2"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44280</v>
      </c>
      <c r="P2" s="470" t="str">
        <f>IF('Project Info'!$B$18&lt;&gt;"", 'Project Info'!$B$18, "")</f>
        <v>Restricted Procedure</v>
      </c>
      <c r="Q2" s="470" t="str">
        <f>IF(OR('Project Info'!$B$15=Lookups!$F$7, 'Project Info'!$B$15=Lookups!$F$8), "Below", IF('Project Info'!$B$14="works", IF('Project Info'!$B$15=Lookups!$F$10, "Above", "Below"), IF('Project Info'!$B$15=Lookups!$G$9, "Above", "Below")))</f>
        <v>Above</v>
      </c>
      <c r="R2" s="470" t="str">
        <f>IF('Project Info'!$B$18="Open Procedure", "Request to Participate and Tender", IF('Project Info'!$B$20="SQ", "Request to Participate", IF('Project Info'!$B$20="Tender", 'Project Info'!$B$20, CONCATENATE('Project Info'!$B$20, " Tender"))))</f>
        <v>Request to Participate</v>
      </c>
      <c r="S2" s="470" t="str">
        <f>IF('Project Info'!$B$18="Open Procedure", CONCATENATE('Project Info'!$B$17," and Tender"), IF('Project Info'!$B$20="SQ", 'Project Info'!$B$17, IF(OR('Project Info'!$B$20="Initial",'Project Info'!$B$20="Final"),CONCATENATE('Project Info'!$B$20," tender"), "Tender")))</f>
        <v>SQ</v>
      </c>
      <c r="T2" s="470" t="str">
        <f>IF('Project Info'!$B$17&lt;&gt;"", 'Project Info'!$B$17, "")</f>
        <v>SQ</v>
      </c>
      <c r="U2" s="470" t="str">
        <f>'Project Info'!$B$14</f>
        <v>services</v>
      </c>
      <c r="V2" s="470" t="str">
        <f>'Project Info'!$B$13</f>
        <v>contract</v>
      </c>
      <c r="W2" s="470">
        <f>'Project Info'!$B$49</f>
        <v>0</v>
      </c>
      <c r="X2" s="470" t="str">
        <f>'Project Info'!$B$23</f>
        <v>Yes</v>
      </c>
      <c r="Y2" s="470">
        <f>IF('Project Info'!$B$24="N/A", "N/A", 'Project Info'!$B$24)</f>
        <v>6</v>
      </c>
      <c r="Z2" s="470" t="str">
        <f>IF(Lotted?="Yes", IF('Project Info'!$B$24="N/A", "N/A", IF('Project Info'!$B$24&gt;=11, CONCATENATE('Project Info'!$B$24, " lots"), CONCATENATE(VLOOKUP('Project Info'!$B$24, TBL_004_nolookup[], 2, FALSE), " lots"))), "N/A")</f>
        <v>six lots</v>
      </c>
      <c r="AA2" s="470" t="e">
        <f>IF('Project Info'!$B$31&gt;=11, 'Project Info'!$B$31, VLOOKUP('Project Info'!$B$31, TBL_004_nolookup[], 2, FALSE))</f>
        <v>#N/A</v>
      </c>
      <c r="AB2" s="470">
        <f>IF('Project Info'!$B$49="Other (please provide info)", 'Project Info'!$C$50, 'Project Info'!$B$50)</f>
        <v>0</v>
      </c>
      <c r="AC2" s="470">
        <f>IF('Project Info'!$B$49="Partnering", IF('Project Info'!$B$50="ACA Standard Form of Contract for Term Partnering (TPC 2005 – Amended 2008) published by The Association of Consultant Architects Ltd.  (ACA)", "TPC", "TAC"), 'Project Info'!$B$49)</f>
        <v>0</v>
      </c>
      <c r="AD2" s="470" t="str">
        <f>'Project Info'!$C$51</f>
        <v>consultant(s)</v>
      </c>
      <c r="AE2" s="470" t="str">
        <f>'Project Info'!$B$52</f>
        <v>Contract Administrator</v>
      </c>
      <c r="AF2" s="470" t="str">
        <f>'Project Info'!$C$52</f>
        <v>CA</v>
      </c>
      <c r="AG2" s="470" t="str">
        <f>IF('Project Info'!$B$49="Partnering", "Price Framework", "Tender Book")</f>
        <v>Tender Book</v>
      </c>
      <c r="AH2" s="470">
        <f>'Project Info'!$B$53</f>
        <v>0</v>
      </c>
      <c r="AI2"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2"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2"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2" s="515">
        <f>'Project Info'!$B$56</f>
        <v>0</v>
      </c>
      <c r="AM2" s="470" t="str">
        <f>IF(TBL_003_DocMerge[[#This Row],[annually_renewable]]="Yes - extensions on an annually renewable basis", "on an annually renewable basis",'Project Info'!$C$56)</f>
        <v/>
      </c>
      <c r="AN2" s="515" t="str">
        <f>'Project Info'!$B$65</f>
        <v>approximately</v>
      </c>
      <c r="AO2" s="516">
        <f>'Project Info'!$B$64</f>
        <v>2200</v>
      </c>
      <c r="AP2" s="515" t="str">
        <f>'Project Info'!$B$66</f>
        <v>No</v>
      </c>
      <c r="AQ2" s="515">
        <f>'Project Info'!$B$102</f>
        <v>0</v>
      </c>
      <c r="AR2" s="515">
        <f>'Project Info'!$B$103</f>
        <v>0</v>
      </c>
      <c r="AS2" s="470" t="str">
        <f t="shared" ref="AS2:AS7" si="0">Int_or_SV</f>
        <v>Not applicable</v>
      </c>
      <c r="AT2" s="515">
        <f t="shared" ref="AT2:AT7" si="1">TUPE</f>
        <v>0</v>
      </c>
      <c r="AU2" s="515" t="str">
        <f>'Project Info'!$B$61</f>
        <v/>
      </c>
      <c r="AV2" s="517">
        <f>'Project Info'!$B$68</f>
        <v>10000000</v>
      </c>
      <c r="AW2" s="517">
        <f>'Project Info'!$B$69</f>
        <v>10000000</v>
      </c>
      <c r="AX2" s="517">
        <f>'Project Info'!$B$70</f>
        <v>200000</v>
      </c>
      <c r="AY2" s="517">
        <f>'Project Info'!$B$71</f>
        <v>0</v>
      </c>
      <c r="AZ2" s="518" t="str">
        <f t="shared" ref="AZ2:AZ7" si="2">Fin_Check</f>
        <v>No</v>
      </c>
      <c r="BA2" s="519" t="str">
        <f>IF('Project Info'!$B$16&lt;&gt;"", IF(OR('Project Info'!$B$16="Yes-Above", 'Project Info'!$B$16="Yes-Below (works only)"), "Yes", "No"), "")</f>
        <v>No</v>
      </c>
      <c r="BB2" s="519" t="str">
        <f>IF('Project Info'!$C$19&lt;&gt;"", 'Project Info'!$C$19, 'Project Info'!$B$19)</f>
        <v>myTenders</v>
      </c>
      <c r="BC2" s="520">
        <f t="array" ref="BC2">INDEX(TBL_002_Dates[Date], MATCH(1, ("SQ"=TBL_002_Dates[Stage])*("Issue"=TBL_002_Dates[Activity]),0))</f>
        <v>44280</v>
      </c>
      <c r="BD2" s="520">
        <f t="array" ref="BD2">INDEX(TBL_002_Dates[Date], MATCH(1, ("SQ"=TBL_002_Dates[Stage])*("Clarification"=TBL_002_Dates[Activity]),0))</f>
        <v>44302</v>
      </c>
      <c r="BE2" s="520">
        <f t="array" ref="BE2">INDEX(TBL_002_Dates[Date], MATCH(1, ("SQ"=TBL_002_Dates[Stage])*("Return"=TBL_002_Dates[Activity]),0))</f>
        <v>44312</v>
      </c>
      <c r="BF2" s="520" t="str">
        <f t="array" ref="BF2">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2" s="520">
        <f t="array" ref="BG2">INDEX(TBL_002_Dates[Date], MATCH(1, ("SQ"=TBL_002_Dates[Stage])*("Eval_start"=TBL_002_Dates[Activity]),0))</f>
        <v>44313</v>
      </c>
      <c r="BH2" s="520">
        <f t="array" ref="BH2">INDEX(TBL_002_Dates[Date], MATCH(1, ("SQ"=TBL_002_Dates[Stage])*("Eval_end"=TBL_002_Dates[Activity]),0))</f>
        <v>44316</v>
      </c>
      <c r="BI2" s="520">
        <f t="array" ref="BI2">INDEX(TBL_002_Dates[Date], MATCH(1, ("SQ"=TBL_002_Dates[Stage])*("Feedback"=TBL_002_Dates[Activity]),0))</f>
        <v>44321</v>
      </c>
      <c r="BJ2" s="520">
        <f t="array" ref="BJ2">INDEX(TBL_002_Dates[Date], MATCH(1, ("ITT"=TBL_002_Dates[Stage])*("Issue"=TBL_002_Dates[Activity]),0))</f>
        <v>44321</v>
      </c>
      <c r="BK2" s="520">
        <f t="array" ref="BK2">INDEX(TBL_002_Dates[Date], MATCH(1, ("ITT"=TBL_002_Dates[Stage])*("Clarification"=TBL_002_Dates[Activity]),0))</f>
        <v>44328</v>
      </c>
      <c r="BL2" s="520">
        <f t="array" ref="BL2">INDEX(TBL_002_Dates[Date], MATCH(1, ("ITT"=TBL_002_Dates[Stage])*("Return"=TBL_002_Dates[Activity]),0))</f>
        <v>44337</v>
      </c>
      <c r="BM2" s="520" t="str">
        <f t="array" ref="BM2">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2" s="520">
        <f t="array" ref="BN2">INDEX(TBL_002_Dates[Date], MATCH(1, ("ITT"=TBL_002_Dates[Stage])*("Eval_start"=TBL_002_Dates[Activity]),0))</f>
        <v>44340</v>
      </c>
      <c r="BO2" s="520">
        <f t="array" ref="BO2">INDEX(TBL_002_Dates[Date], MATCH(1, ("ITT"=TBL_002_Dates[Stage])*("Eval_end"=TBL_002_Dates[Activity]),0))</f>
        <v>44348</v>
      </c>
      <c r="BP2" s="520">
        <f t="array" ref="BP2">INDEX(TBL_002_Dates[Date], MATCH(1, ("Final"=TBL_002_Dates[Stage])*("Feedback"=TBL_002_Dates[Activity]),0))</f>
        <v>44350</v>
      </c>
      <c r="BQ2" s="520">
        <f t="array" ref="BQ2">INDEX(TBL_002_Dates[Date], MATCH(1, ("Mob"=TBL_002_Dates[Stage])*("Start"=TBL_002_Dates[Activity]),0))</f>
        <v>44351</v>
      </c>
      <c r="BR2"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2" s="520">
        <f t="array" ref="BS2">INDEX(TBL_002_Dates[Date], MATCH(1, ("Commence"=TBL_002_Dates[Stage])*("Commence"=TBL_002_Dates[Activity]),0))</f>
        <v>44378</v>
      </c>
      <c r="BT2" s="521" t="str">
        <f>VLOOKUP(MONTH(TBL_003_DocMerge[[#This Row],[Contract_commences]]), TBL_005_Month[], 2, FALSE)</f>
        <v>July</v>
      </c>
      <c r="BU2" s="522">
        <f>YEAR(TBL_003_DocMerge[[#This Row],[Contract_commences]])</f>
        <v>2021</v>
      </c>
      <c r="BV2" s="519">
        <f t="shared" ref="BV2:BV7" si="3">marks</f>
        <v>5</v>
      </c>
      <c r="BW2" s="519" t="str">
        <f t="shared" ref="BW2" si="4">SQ_Same_Qs?</f>
        <v>Yes</v>
      </c>
      <c r="BX2" s="519" t="str">
        <f t="shared" ref="BX2:BX7" si="5">SQ_Same_Response?</f>
        <v>No</v>
      </c>
      <c r="BY2" s="519" t="str">
        <f t="shared" ref="BY2:BY7" si="6">SQ_Weighted?</f>
        <v>No</v>
      </c>
      <c r="BZ2" s="519">
        <f>'Project Info'!$B$113</f>
        <v>0</v>
      </c>
      <c r="CA2" s="519" t="str">
        <f t="array" ref="CA2">IFERROR(INDEX(TBL_007_LotInfo[Name], MATCH(1, (TBL_007_LotInfo[No]=1)*(TBL_007_LotInfo[Include?]="Yes"),0)), "[Remove]")</f>
        <v>General Builder</v>
      </c>
      <c r="CB2" s="519" t="str">
        <f t="array" ref="CB2">IFERROR(INDEX(TBL_007_LotInfo[Description], MATCH(1, (TBL_007_LotInfo[No]=1)*(TBL_007_LotInfo[Include?]="Yes"),0)), "[Remove]")</f>
        <v>multi-trade including carpentry, plastering, decorating, groundworks, brickworks, etc.</v>
      </c>
      <c r="CC2" s="519" t="str">
        <f t="array" ref="CC2">IFERROR(INDEX(TBL_007_LotInfo[Approx?], MATCH(1, (TBL_007_LotInfo[No]=1)*(TBL_007_LotInfo[Include?]="Yes"),0)), "[Remove]")</f>
        <v>approximately</v>
      </c>
      <c r="CD2" s="519">
        <f t="array" ref="CD2">IFERROR(INDEX(TBL_007_LotInfo[Props], MATCH(1, (TBL_007_LotInfo[No]=1)*(TBL_007_LotInfo[Include?]="Yes"),0)), "[Remove]")</f>
        <v>2200</v>
      </c>
      <c r="CE2" s="519" t="str">
        <f t="array" ref="CE2">IFERROR(INDEX(TBL_007_LotInfo[Type_Prop], MATCH(1, (TBL_007_LotInfo[No]=1)*(TBL_007_LotInfo[Include?]="Yes"),0)), "[Remove]")</f>
        <v>properties</v>
      </c>
      <c r="CF2" s="519" t="str">
        <f t="array" ref="CF2">IFERROR(INDEX(TBL_007_LotInfo[Value_type], MATCH(1, (TBL_007_LotInfo[No]=1)*(TBL_007_LotInfo[Include?]="Yes"),0)), "[Remove]")</f>
        <v>Single figure</v>
      </c>
      <c r="CG2" s="519">
        <f t="array" ref="CG2">IFERROR(INDEX(TBL_007_LotInfo[Value_Max], MATCH(1, (TBL_007_LotInfo[No]=1)*(TBL_007_LotInfo[Include?]="Yes"),0)), "[Remove]")</f>
        <v>350000</v>
      </c>
      <c r="CH2" s="519" t="str">
        <f t="array" ref="CH2">IFERROR(INDEX(TBL_007_LotInfo[Value_Min], MATCH(1, (TBL_007_LotInfo[No]=1)*(TBL_007_LotInfo[Include?]="Yes"),0)), "[Remove]")</f>
        <v/>
      </c>
      <c r="CI2" s="519" t="str">
        <f t="array" ref="CI2">IFERROR(IF(INDEX(TBL_007_LotInfo[Cons_Min], MATCH(1, (TBL_007_LotInfo[No]=1)*(TBL_007_LotInfo[Include?]="Yes"),0))&gt;10, INDEX(TBL_007_LotInfo[Cons_Min], MATCH(1, (TBL_007_LotInfo[No]=1)*(TBL_007_LotInfo[Include?]="Yes"),0)), VLOOKUP(INDEX(TBL_007_LotInfo[Cons_Min], MATCH(1, (TBL_007_LotInfo[No]=1)*(TBL_007_LotInfo[Include?]="Yes"),0)), TBL_004_nolookup[], 2, FALSE)), "[Remove]")</f>
        <v>one</v>
      </c>
      <c r="CJ2" s="519" t="str">
        <f t="array" ref="CJ2">IFERROR(IF(INDEX(TBL_007_LotInfo[Cons_Max], MATCH(1, (TBL_007_LotInfo[No]=1)*(TBL_007_LotInfo[Include?]="Yes"),0))&gt;10, INDEX(TBL_007_LotInfo[Cons_Max], MATCH(1, (TBL_007_LotInfo[No]=1)*(TBL_007_LotInfo[Include?]="Yes"),0)), VLOOKUP(INDEX(TBL_007_LotInfo[Cons_Max], MATCH(1, (TBL_007_LotInfo[No]=1)*(TBL_007_LotInfo[Include?]="Yes"),0)), TBL_004_nolookup[], 2, FALSE)), "[Remove]")</f>
        <v>one</v>
      </c>
      <c r="CK2" s="519" t="str">
        <f t="array" ref="CK2">IFERROR(INDEX(TBL_007_LotInfo[Name], MATCH(1, (TBL_007_LotInfo[No]=2)*(TBL_007_LotInfo[Include?]="Yes"),0)), "[Remove]")</f>
        <v>Plumbing</v>
      </c>
      <c r="CL2" s="519" t="str">
        <f t="array" ref="CL2">IFERROR(INDEX(TBL_007_LotInfo[Description], MATCH(1, (TBL_007_LotInfo[No]=2)*(TBL_007_LotInfo[Include?]="Yes"),0)), "[Remove]")</f>
        <v/>
      </c>
      <c r="CM2" s="519" t="str">
        <f t="array" ref="CM2">IFERROR(INDEX(TBL_007_LotInfo[Approx?], MATCH(1, (TBL_007_LotInfo[No]=2)*(TBL_007_LotInfo[Include?]="Yes"),0)), "[Remove]")</f>
        <v>approximately</v>
      </c>
      <c r="CN2" s="519">
        <f t="array" ref="CN2">IFERROR(INDEX(TBL_007_LotInfo[Props], MATCH(1, (TBL_007_LotInfo[No]=2)*(TBL_007_LotInfo[Include?]="Yes"),0)), "[Remove]")</f>
        <v>2200</v>
      </c>
      <c r="CO2" s="519" t="str">
        <f t="array" ref="CO2">IFERROR(INDEX(TBL_007_LotInfo[Type_Prop], MATCH(1, (TBL_007_LotInfo[No]=2)*(TBL_007_LotInfo[Include?]="Yes"),0)), "[Remove]")</f>
        <v>properties</v>
      </c>
      <c r="CP2" s="519" t="str">
        <f t="array" ref="CP2">IFERROR(INDEX(TBL_007_LotInfo[Value_type], MATCH(1, (TBL_007_LotInfo[No]=2)*(TBL_007_LotInfo[Include?]="Yes"),0)), "[Remove]")</f>
        <v>Single figure</v>
      </c>
      <c r="CQ2" s="519">
        <f t="array" ref="CQ2">IFERROR(INDEX(TBL_007_LotInfo[Value_Max], MATCH(1, (TBL_007_LotInfo[No]=2)*(TBL_007_LotInfo[Include?]="Yes"),0)), "[Remove]")</f>
        <v>155000</v>
      </c>
      <c r="CR2" s="519" t="str">
        <f t="array" ref="CR2">IFERROR(INDEX(TBL_007_LotInfo[Value_Min], MATCH(1, (TBL_007_LotInfo[No]=2)*(TBL_007_LotInfo[Include?]="Yes"),0)), "[Remove]")</f>
        <v/>
      </c>
      <c r="CS2" s="519" t="str">
        <f t="array" ref="CS2">IFERROR(IF(INDEX(TBL_007_LotInfo[Cons_Min], MATCH(1, (TBL_007_LotInfo[No]=2)*(TBL_007_LotInfo[Include?]="Yes"),0))&gt;10, INDEX(TBL_007_LotInfo[Cons_Min], MATCH(1, (TBL_007_LotInfo[No]=2)*(TBL_007_LotInfo[Include?]="Yes"),0)), VLOOKUP(INDEX(TBL_007_LotInfo[Cons_Min], MATCH(1, (TBL_007_LotInfo[No]=2)*(TBL_007_LotInfo[Include?]="Yes"),0)), TBL_004_nolookup[], 2, FALSE)), "[Remove]")</f>
        <v>one</v>
      </c>
      <c r="CT2" s="519" t="str">
        <f t="array" ref="CT2">IFERROR(IF(INDEX(TBL_007_LotInfo[Cons_Max], MATCH(1, (TBL_007_LotInfo[No]=2)*(TBL_007_LotInfo[Include?]="Yes"),0))&gt;10, INDEX(TBL_007_LotInfo[Cons_Max], MATCH(1, (TBL_007_LotInfo[No]=2)*(TBL_007_LotInfo[Include?]="Yes"),0)), VLOOKUP(INDEX(TBL_007_LotInfo[Cons_Max], MATCH(1, (TBL_007_LotInfo[No]=2)*(TBL_007_LotInfo[Include?]="Yes"),0)), TBL_004_nolookup[], 2, FALSE)), "[Remove]")</f>
        <v>one</v>
      </c>
      <c r="CU2" s="519" t="str">
        <f t="array" ref="CU2">IFERROR(INDEX(TBL_007_LotInfo[Name], MATCH(1, (TBL_007_LotInfo[No]=3)*(TBL_007_LotInfo[Include?]="Yes"),0)), "[Remove]")</f>
        <v>Electrics</v>
      </c>
      <c r="CV2" s="519" t="str">
        <f t="array" ref="CV2">IFERROR(INDEX(TBL_007_LotInfo[Description], MATCH(1, (TBL_007_LotInfo[No]=3)*(TBL_007_LotInfo[Include?]="Yes"),0)), "[Remove]")</f>
        <v/>
      </c>
      <c r="CW2" s="519" t="str">
        <f t="array" ref="CW2">IFERROR(INDEX(TBL_007_LotInfo[Approx?], MATCH(1, (TBL_007_LotInfo[No]=3)*(TBL_007_LotInfo[Include?]="Yes"),0)), "[Remove]")</f>
        <v>approximately</v>
      </c>
      <c r="CX2" s="519">
        <f t="array" ref="CX2">IFERROR(INDEX(TBL_007_LotInfo[Props], MATCH(1, (TBL_007_LotInfo[No]=3)*(TBL_007_LotInfo[Include?]="Yes"),0)), "[Remove]")</f>
        <v>2200</v>
      </c>
      <c r="CY2" s="519" t="str">
        <f t="array" ref="CY2">IFERROR(INDEX(TBL_007_LotInfo[Type_Prop], MATCH(1, (TBL_007_LotInfo[No]=3)*(TBL_007_LotInfo[Include?]="Yes"),0)), "[Remove]")</f>
        <v>properties</v>
      </c>
      <c r="CZ2" s="519" t="str">
        <f t="array" ref="CZ2">IFERROR(INDEX(TBL_007_LotInfo[Value_type], MATCH(1, (TBL_007_LotInfo[No]=3)*(TBL_007_LotInfo[Include?]="Yes"),0)), "[Remove]")</f>
        <v>Single figure</v>
      </c>
      <c r="DA2" s="519">
        <f t="array" ref="DA2">IFERROR(INDEX(TBL_007_LotInfo[Value_Max], MATCH(1, (TBL_007_LotInfo[No]=3)*(TBL_007_LotInfo[Include?]="Yes"),0)), "[Remove]")</f>
        <v>100000</v>
      </c>
      <c r="DB2" s="519" t="str">
        <f t="array" ref="DB2">IFERROR(INDEX(TBL_007_LotInfo[Value_Min], MATCH(1, (TBL_007_LotInfo[No]=3)*(TBL_007_LotInfo[Include?]="Yes"),0)), "[Remove]")</f>
        <v/>
      </c>
      <c r="DC2" s="519" t="str">
        <f t="array" ref="DC2">IFERROR(IF(INDEX(TBL_007_LotInfo[Cons_Min], MATCH(1, (TBL_007_LotInfo[No]=3)*(TBL_007_LotInfo[Include?]="Yes"),0))&gt;10, INDEX(TBL_007_LotInfo[Cons_Min], MATCH(1, (TBL_007_LotInfo[No]=3)*(TBL_007_LotInfo[Include?]="Yes"),0)), VLOOKUP(INDEX(TBL_007_LotInfo[Cons_Min], MATCH(1, (TBL_007_LotInfo[No]=3)*(TBL_007_LotInfo[Include?]="Yes"),0)), TBL_004_nolookup[], 2, FALSE)), "[Remove]")</f>
        <v>one</v>
      </c>
      <c r="DD2" s="519" t="str">
        <f t="array" ref="DD2">IFERROR(IF(INDEX(TBL_007_LotInfo[Cons_Max], MATCH(1, (TBL_007_LotInfo[No]=3)*(TBL_007_LotInfo[Include?]="Yes"),0))&gt;10, INDEX(TBL_007_LotInfo[Cons_Max], MATCH(1, (TBL_007_LotInfo[No]=3)*(TBL_007_LotInfo[Include?]="Yes"),0)), VLOOKUP(INDEX(TBL_007_LotInfo[Cons_Max], MATCH(1, (TBL_007_LotInfo[No]=3)*(TBL_007_LotInfo[Include?]="Yes"),0)), TBL_004_nolookup[], 2, FALSE)), "[Remove]")</f>
        <v>one</v>
      </c>
      <c r="DE2" s="519" t="str">
        <f t="array" ref="DE2">IFERROR(INDEX(TBL_007_LotInfo[Name], MATCH(1, (TBL_007_LotInfo[No]=4)*(TBL_007_LotInfo[Include?]="Yes"),0)), "[Remove]")</f>
        <v>Drainage</v>
      </c>
      <c r="DF2" s="519" t="str">
        <f t="array" ref="DF2">IFERROR(INDEX(TBL_007_LotInfo[Description], MATCH(1, (TBL_007_LotInfo[No]=4)*(TBL_007_LotInfo[Include?]="Yes"),0)), "[Remove]")</f>
        <v/>
      </c>
      <c r="DG2" s="519" t="str">
        <f t="array" ref="DG2">IFERROR(INDEX(TBL_007_LotInfo[Approx?], MATCH(1, (TBL_007_LotInfo[No]=4)*(TBL_007_LotInfo[Include?]="Yes"),0)), "[Remove]")</f>
        <v>approximately</v>
      </c>
      <c r="DH2" s="519">
        <f t="array" ref="DH2">IFERROR(INDEX(TBL_007_LotInfo[Props], MATCH(1, (TBL_007_LotInfo[No]=4)*(TBL_007_LotInfo[Include?]="Yes"),0)), "[Remove]")</f>
        <v>2200</v>
      </c>
      <c r="DI2" s="519" t="str">
        <f t="array" ref="DI2">IFERROR(INDEX(TBL_007_LotInfo[Type_Prop], MATCH(1, (TBL_007_LotInfo[No]=4)*(TBL_007_LotInfo[Include?]="Yes"),0)), "[Remove]")</f>
        <v>properties</v>
      </c>
      <c r="DJ2" s="519" t="str">
        <f t="array" ref="DJ2">IFERROR(INDEX(TBL_007_LotInfo[Value_type], MATCH(1, (TBL_007_LotInfo[No]=4)*(TBL_007_LotInfo[Include?]="Yes"),0)), "[Remove]")</f>
        <v>Single figure</v>
      </c>
      <c r="DK2" s="519">
        <f t="array" ref="DK2">IFERROR(INDEX(TBL_007_LotInfo[Value_Max], MATCH(1, (TBL_007_LotInfo[No]=4)*(TBL_007_LotInfo[Include?]="Yes"),0)), "[Remove]")</f>
        <v>30000</v>
      </c>
      <c r="DL2" s="519" t="str">
        <f t="array" ref="DL2">IFERROR(INDEX(TBL_007_LotInfo[Value_Min], MATCH(1, (TBL_007_LotInfo[No]=4)*(TBL_007_LotInfo[Include?]="Yes"),0)), "[Remove]")</f>
        <v/>
      </c>
      <c r="DM2" s="519" t="str">
        <f t="array" ref="DM2">IFERROR(IF(INDEX(TBL_007_LotInfo[Cons_Min], MATCH(1, (TBL_007_LotInfo[No]=4)*(TBL_007_LotInfo[Include?]="Yes"),0))&gt;10, INDEX(TBL_007_LotInfo[Cons_Min], MATCH(1, (TBL_007_LotInfo[No]=4)*(TBL_007_LotInfo[Include?]="Yes"),0)), VLOOKUP(INDEX(TBL_007_LotInfo[Cons_Min], MATCH(1, (TBL_007_LotInfo[No]=4)*(TBL_007_LotInfo[Include?]="Yes"),0)), TBL_004_nolookup[], 2, FALSE)), "[Remove]")</f>
        <v>one</v>
      </c>
      <c r="DN2" s="519" t="str">
        <f t="array" ref="DN2">IFERROR(IF(INDEX(TBL_007_LotInfo[Cons_Max], MATCH(1, (TBL_007_LotInfo[No]=4)*(TBL_007_LotInfo[Include?]="Yes"),0))&gt;10, INDEX(TBL_007_LotInfo[Cons_Max], MATCH(1, (TBL_007_LotInfo[No]=4)*(TBL_007_LotInfo[Include?]="Yes"),0)), VLOOKUP(INDEX(TBL_007_LotInfo[Cons_Max], MATCH(1, (TBL_007_LotInfo[No]=4)*(TBL_007_LotInfo[Include?]="Yes"),0)), TBL_004_nolookup[], 2, FALSE)), "[Remove]")</f>
        <v>one</v>
      </c>
      <c r="DO2" s="519" t="str">
        <f t="array" ref="DO2">IFERROR(INDEX(TBL_007_LotInfo[Name], MATCH(1, (TBL_007_LotInfo[No]=5)*(TBL_007_LotInfo[Include?]="Yes"),0)), "[Remove]")</f>
        <v>Roofing</v>
      </c>
      <c r="DP2" s="519" t="str">
        <f t="array" ref="DP2">IFERROR(INDEX(TBL_007_LotInfo[Description], MATCH(1, (TBL_007_LotInfo[No]=5)*(TBL_007_LotInfo[Include?]="Yes"),0)), "[Remove]")</f>
        <v/>
      </c>
      <c r="DQ2" s="519" t="str">
        <f t="array" ref="DQ2">IFERROR(INDEX(TBL_007_LotInfo[Approx?], MATCH(1, (TBL_007_LotInfo[No]=5)*(TBL_007_LotInfo[Include?]="Yes"),0)), "[Remove]")</f>
        <v>approximately</v>
      </c>
      <c r="DR2" s="519">
        <f t="array" ref="DR2">IFERROR(INDEX(TBL_007_LotInfo[Props], MATCH(1, (TBL_007_LotInfo[No]=5)*(TBL_007_LotInfo[Include?]="Yes"),0)), "[Remove]")</f>
        <v>2200</v>
      </c>
      <c r="DS2" s="519" t="str">
        <f t="array" ref="DS2">IFERROR(INDEX(TBL_007_LotInfo[Type_Prop], MATCH(1, (TBL_007_LotInfo[No]=5)*(TBL_007_LotInfo[Include?]="Yes"),0)), "[Remove]")</f>
        <v>properties</v>
      </c>
      <c r="DT2" s="519" t="str">
        <f t="array" ref="DT2">IFERROR(INDEX(TBL_007_LotInfo[Value_type], MATCH(1, (TBL_007_LotInfo[No]=5)*(TBL_007_LotInfo[Include?]="Yes"),0)), "[Remove]")</f>
        <v>Single figure</v>
      </c>
      <c r="DU2" s="519">
        <f t="array" ref="DU2">IFERROR(INDEX(TBL_007_LotInfo[Value_Max], MATCH(1, (TBL_007_LotInfo[No]=5)*(TBL_007_LotInfo[Include?]="Yes"),0)), "[Remove]")</f>
        <v>10000</v>
      </c>
      <c r="DV2" s="519" t="str">
        <f t="array" ref="DV2">IFERROR(INDEX(TBL_007_LotInfo[Value_Min], MATCH(1, (TBL_007_LotInfo[No]=5)*(TBL_007_LotInfo[Include?]="Yes"),0)), "[Remove]")</f>
        <v/>
      </c>
      <c r="DW2" s="519" t="str">
        <f t="array" ref="DW2">IFERROR(IF(INDEX(TBL_007_LotInfo[Cons_Min], MATCH(1, (TBL_007_LotInfo[No]=5)*(TBL_007_LotInfo[Include?]="Yes"),0))&gt;10, INDEX(TBL_007_LotInfo[Cons_Min], MATCH(1, (TBL_007_LotInfo[No]=5)*(TBL_007_LotInfo[Include?]="Yes"),0)), VLOOKUP(INDEX(TBL_007_LotInfo[Cons_Min], MATCH(1, (TBL_007_LotInfo[No]=5)*(TBL_007_LotInfo[Include?]="Yes"),0)), TBL_004_nolookup[], 2, FALSE)), "[Remove]")</f>
        <v>one</v>
      </c>
      <c r="DX2" s="519" t="str">
        <f t="array" ref="DX2">IFERROR(IF(INDEX(TBL_007_LotInfo[Cons_Max], MATCH(1, (TBL_007_LotInfo[No]=5)*(TBL_007_LotInfo[Include?]="Yes"),0))&gt;10, INDEX(TBL_007_LotInfo[Cons_Max], MATCH(1, (TBL_007_LotInfo[No]=5)*(TBL_007_LotInfo[Include?]="Yes"),0)), VLOOKUP(INDEX(TBL_007_LotInfo[Cons_Max], MATCH(1, (TBL_007_LotInfo[No]=5)*(TBL_007_LotInfo[Include?]="Yes"),0)), TBL_004_nolookup[], 2, FALSE)), "[Remove]")</f>
        <v>one</v>
      </c>
      <c r="DY2" s="519" t="str">
        <f t="array" ref="DY2">IFERROR(INDEX(TBL_007_LotInfo[Name], MATCH(1, (TBL_007_LotInfo[No]=6)*(TBL_007_LotInfo[Include?]="Yes"),0)), "[Remove]")</f>
        <v>Glazing, ironmongery and locksmith</v>
      </c>
      <c r="DZ2" s="519" t="str">
        <f t="array" ref="DZ2">IFERROR(INDEX(TBL_007_LotInfo[Description], MATCH(1, (TBL_007_LotInfo[No]=6)*(TBL_007_LotInfo[Include?]="Yes"),0)), "[Remove]")</f>
        <v/>
      </c>
      <c r="EA2" s="519" t="str">
        <f t="array" ref="EA2">IFERROR(INDEX(TBL_007_LotInfo[Approx?], MATCH(1, (TBL_007_LotInfo[No]=6)*(TBL_007_LotInfo[Include?]="Yes"),0)), "[Remove]")</f>
        <v>approximately</v>
      </c>
      <c r="EB2" s="519">
        <f t="array" ref="EB2">IFERROR(INDEX(TBL_007_LotInfo[Props], MATCH(1, (TBL_007_LotInfo[No]=6)*(TBL_007_LotInfo[Include?]="Yes"),0)), "[Remove]")</f>
        <v>2200</v>
      </c>
      <c r="EC2" s="519" t="str">
        <f t="array" ref="EC2">IFERROR(INDEX(TBL_007_LotInfo[Type_Prop], MATCH(1, (TBL_007_LotInfo[No]=5)*(TBL_007_LotInfo[Include?]="Yes"),0)), "[Remove]")</f>
        <v>properties</v>
      </c>
      <c r="ED2" s="519" t="str">
        <f t="array" ref="ED2">IFERROR(INDEX(TBL_007_LotInfo[Value_type], MATCH(1, (TBL_007_LotInfo[No]=6)*(TBL_007_LotInfo[Include?]="Yes"),0)), "[Remove]")</f>
        <v>Single figure</v>
      </c>
      <c r="EE2" s="519">
        <f t="array" ref="EE2">IFERROR(INDEX(TBL_007_LotInfo[Value_Max], MATCH(1, (TBL_007_LotInfo[No]=6)*(TBL_007_LotInfo[Include?]="Yes"),0)), "[Remove]")</f>
        <v>12000</v>
      </c>
      <c r="EF2" s="519" t="str">
        <f t="array" ref="EF2">IFERROR(INDEX(TBL_007_LotInfo[Value_Min], MATCH(1, (TBL_007_LotInfo[No]=6)*(TBL_007_LotInfo[Include?]="Yes"),0)), "[Remove]")</f>
        <v/>
      </c>
      <c r="EG2" s="519" t="str">
        <f t="array" ref="EG2">IFERROR(IF(INDEX(TBL_007_LotInfo[Cons_Min], MATCH(1, (TBL_007_LotInfo[No]=6)*(TBL_007_LotInfo[Include?]="Yes"),0))&gt;10, INDEX(TBL_007_LotInfo[Cons_Min], MATCH(1, (TBL_007_LotInfo[No]=6)*(TBL_007_LotInfo[Include?]="Yes"),0)), VLOOKUP(INDEX(TBL_007_LotInfo[Cons_Min], MATCH(1, (TBL_007_LotInfo[No]=6)*(TBL_007_LotInfo[Include?]="Yes"),0)), TBL_004_nolookup[], 2, FALSE)), "[Remove]")</f>
        <v>one</v>
      </c>
      <c r="EH2" s="519" t="str">
        <f t="array" ref="EH2">IFERROR(IF(INDEX(TBL_007_LotInfo[Cons_Max], MATCH(1, (TBL_007_LotInfo[No]=6)*(TBL_007_LotInfo[Include?]="Yes"),0))&gt;10, INDEX(TBL_007_LotInfo[Cons_Max], MATCH(1, (TBL_007_LotInfo[No]=6)*(TBL_007_LotInfo[Include?]="Yes"),0)), VLOOKUP(INDEX(TBL_007_LotInfo[Cons_Max], MATCH(1, (TBL_007_LotInfo[No]=6)*(TBL_007_LotInfo[Include?]="Yes"),0)), TBL_004_nolookup[], 2, FALSE)), "[Remove]")</f>
        <v>one</v>
      </c>
      <c r="EI2" s="519" t="str">
        <f>'Project Info'!$B$27</f>
        <v>No</v>
      </c>
      <c r="EJ2" s="519" t="str">
        <f>IF(TBL_003_DocMerge[[#This Row],[Limit_Award?]]="Yes", IF('Project Info'!$B$28&lt;=10, VLOOKUP('Project Info'!$B$28, TBL_004_nolookup[], 2, FALSE), 'Project Info'!$B$28), "N/A")</f>
        <v>N/A</v>
      </c>
      <c r="EK2" s="519" t="str">
        <f>'Project Info'!$B$20</f>
        <v>SQ</v>
      </c>
      <c r="EL2" s="519" t="str">
        <f>IF(TBL_003_DocMerge[[#This Row],[Tender_Stage]]="SQ", "Candidate", "Tenderer")</f>
        <v>Candidate</v>
      </c>
      <c r="EM2" s="523" t="str">
        <f>IF(OR('Project Info'!$B$18="Open Procedure", 'Project Info'!$B$20="SQ", ), IF('Project Info'!$B$17="SQ", IF('Part 1_Supplier Info'!$C$9&lt;&gt;"", 'Part 1_Supplier Info'!$C$9, ""), IF('Project Info'!$B$17="PAS", IF(#REF!&lt;&gt;"",#REF!, ""),  IF(#REF!&lt;&gt;"",#REF!, ""))), IF(#REF!&lt;&gt;"",#REF!, ""))</f>
        <v/>
      </c>
    </row>
    <row r="3" spans="1:143" ht="28" hidden="1">
      <c r="A3" s="519" t="s">
        <v>796</v>
      </c>
      <c r="B3" s="524" t="s">
        <v>789</v>
      </c>
      <c r="C3" s="513" t="str">
        <f>'Project Info'!$B$3</f>
        <v>T1-5622</v>
      </c>
      <c r="D3" s="470" t="str">
        <f>'Project Info'!$B$7</f>
        <v>Islington and Shoreditch Housing Association</v>
      </c>
      <c r="E3" s="470" t="str">
        <f>'Project Info'!$B$8</f>
        <v>ISHA</v>
      </c>
      <c r="F3" s="470" t="str">
        <f>CONCATENATE('Project Info'!$B$9, " for ", TBL_003_DocMerge[[#This Row],[Lot_Ref]], " (", TBL_003_DocMerge[[#This Row],[Lot_1_Name]], ")")</f>
        <v>Dynamic Purchasing System - Responsive Repairs and Voids for Lot 1 (General Builder)</v>
      </c>
      <c r="G3" s="470" t="str">
        <f>'Project Info'!$B$10</f>
        <v>reactive maintenance services</v>
      </c>
      <c r="H3" s="470" t="str">
        <f>'Project Info'!$B$11</f>
        <v xml:space="preserve">102 Blackstock Road, London N4 2DR </v>
      </c>
      <c r="I3" s="470" t="str">
        <f>'Project Info'!$B$12</f>
        <v>North and East London</v>
      </c>
      <c r="J3" s="470" t="str">
        <f>'Project Info'!$B$4</f>
        <v>Emma Pell</v>
      </c>
      <c r="K3" s="470" t="str">
        <f>'Project Info'!$C$4</f>
        <v>EP</v>
      </c>
      <c r="L3" s="470" t="str">
        <f>'Project Info'!$B$5</f>
        <v>Jennifer Hopkins</v>
      </c>
      <c r="M3" s="470" t="str">
        <f>IF('Project Info'!$B$6&lt;&gt;"", VLOOKUP('Project Info'!$B$6, TBL_033_Offices[], 2, FALSE), "To be added")</f>
        <v>Central Court, Knoll Rise, Orpington, BR6 0JA</v>
      </c>
      <c r="N3" s="470" t="str">
        <f>IF('Project Info'!$B$6&lt;&gt;"", VLOOKUP('Project Info'!$B$6, TBL_033_Offices[], 3, FALSE), "To be added")</f>
        <v>01689 885 080</v>
      </c>
      <c r="O3"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44280</v>
      </c>
      <c r="P3" s="470" t="str">
        <f>IF('Project Info'!$B$18&lt;&gt;"", 'Project Info'!$B$18, "")</f>
        <v>Restricted Procedure</v>
      </c>
      <c r="Q3" s="470" t="str">
        <f>IF(OR('Project Info'!$B$15=Lookups!$F$7, 'Project Info'!$B$15=Lookups!$F$8), "Below", IF('Project Info'!$B$14="works", IF('Project Info'!$B$15=Lookups!$F$10, "Above", "Below"), IF('Project Info'!$B$15=Lookups!$G$9, "Above", "Below")))</f>
        <v>Above</v>
      </c>
      <c r="R3" s="470" t="str">
        <f>IF('Project Info'!$B$18="Open Procedure", "Request to Participate and Tender", IF('Project Info'!$B$20="SQ", "Request to Participate", IF('Project Info'!$B$20="Tender", 'Project Info'!$B$20, CONCATENATE('Project Info'!$B$20, " Tender"))))</f>
        <v>Request to Participate</v>
      </c>
      <c r="S3" s="470" t="str">
        <f>IF('Project Info'!$B$18="Open Procedure", CONCATENATE('Project Info'!$B$17," and Tender"), IF('Project Info'!$B$20="SQ", 'Project Info'!$B$17, IF(OR('Project Info'!$B$20="Initial",'Project Info'!$B$20="Final"),CONCATENATE('Project Info'!$B$20," tender"), "Tender")))</f>
        <v>SQ</v>
      </c>
      <c r="T3" s="470" t="str">
        <f>IF('Project Info'!$B$17&lt;&gt;"", 'Project Info'!$B$17, "")</f>
        <v>SQ</v>
      </c>
      <c r="U3" s="470" t="str">
        <f>'Project Info'!$B$14</f>
        <v>services</v>
      </c>
      <c r="V3" s="470" t="str">
        <f>'Project Info'!$B$13</f>
        <v>contract</v>
      </c>
      <c r="W3" s="470">
        <f>'Project Info'!$B$49</f>
        <v>0</v>
      </c>
      <c r="X3" s="470" t="str">
        <f>'Project Info'!$B$23</f>
        <v>Yes</v>
      </c>
      <c r="Y3" s="470">
        <f>IF('Project Info'!$B$24="N/A", "N/A", 'Project Info'!$B$24)</f>
        <v>6</v>
      </c>
      <c r="Z3" s="470" t="str">
        <f>IF(Lotted?="Yes", IF('Project Info'!$B$24="N/A", "N/A", IF('Project Info'!$B$24&gt;=11, CONCATENATE('Project Info'!$B$24, " lots"), CONCATENATE(VLOOKUP('Project Info'!$B$24, TBL_004_nolookup[], 2, FALSE), " lots"))), "N/A")</f>
        <v>six lots</v>
      </c>
      <c r="AA3" s="470" t="e">
        <f>IF('Project Info'!$B$31&gt;=11, 'Project Info'!$B$31, VLOOKUP('Project Info'!$B$31, TBL_004_nolookup[], 2, FALSE))</f>
        <v>#N/A</v>
      </c>
      <c r="AB3" s="470">
        <f>IF('Project Info'!$B$49="Other (please provide info)", 'Project Info'!$C$50, 'Project Info'!$B$50)</f>
        <v>0</v>
      </c>
      <c r="AC3" s="470">
        <f>IF('Project Info'!$B$49="Partnering", IF('Project Info'!$B$50="ACA Standard Form of Contract for Term Partnering (TPC 2005 – Amended 2008) published by The Association of Consultant Architects Ltd.  (ACA)", "TPC", "TAC"), 'Project Info'!$B$49)</f>
        <v>0</v>
      </c>
      <c r="AD3" s="470" t="str">
        <f>'Project Info'!$C$51</f>
        <v>consultant(s)</v>
      </c>
      <c r="AE3" s="470" t="str">
        <f>'Project Info'!$B$52</f>
        <v>Contract Administrator</v>
      </c>
      <c r="AF3" s="470" t="str">
        <f>'Project Info'!$C$52</f>
        <v>CA</v>
      </c>
      <c r="AG3" s="470" t="str">
        <f>IF('Project Info'!$B$49="Partnering", "Price Framework", "Tender Book")</f>
        <v>Tender Book</v>
      </c>
      <c r="AH3" s="470">
        <f>'Project Info'!$B$53</f>
        <v>0</v>
      </c>
      <c r="AI3"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3"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3"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3" s="470">
        <f>'Project Info'!$B$56</f>
        <v>0</v>
      </c>
      <c r="AM3" s="470" t="str">
        <f>IF(TBL_003_DocMerge[[#This Row],[annually_renewable]]="Yes - extensions on an annually renewable basis", "on an annually renewable basis",'Project Info'!$C$56)</f>
        <v/>
      </c>
      <c r="AN3" s="470" t="str">
        <f>'Project Info'!$B$65</f>
        <v>approximately</v>
      </c>
      <c r="AO3" s="470">
        <f>'Project Info'!$B$64</f>
        <v>2200</v>
      </c>
      <c r="AP3" s="470" t="str">
        <f>'Project Info'!$B$66</f>
        <v>No</v>
      </c>
      <c r="AQ3" s="470">
        <f>'Project Info'!$B$102</f>
        <v>0</v>
      </c>
      <c r="AR3" s="470">
        <f>'Project Info'!$B$103</f>
        <v>0</v>
      </c>
      <c r="AS3" s="470" t="str">
        <f t="shared" si="0"/>
        <v>Not applicable</v>
      </c>
      <c r="AT3" s="470">
        <f t="shared" si="1"/>
        <v>0</v>
      </c>
      <c r="AU3" s="470" t="str">
        <f>'Project Info'!$B$61</f>
        <v/>
      </c>
      <c r="AV3" s="525">
        <f>'Project Info'!$B$68</f>
        <v>10000000</v>
      </c>
      <c r="AW3" s="525">
        <f>'Project Info'!$B$69</f>
        <v>10000000</v>
      </c>
      <c r="AX3" s="525">
        <f>'Project Info'!$B$70</f>
        <v>200000</v>
      </c>
      <c r="AY3" s="525">
        <f>'Project Info'!$B$71</f>
        <v>0</v>
      </c>
      <c r="AZ3" s="526" t="str">
        <f t="shared" si="2"/>
        <v>No</v>
      </c>
      <c r="BA3" s="527" t="str">
        <f>IF('Project Info'!$B$16&lt;&gt;"", IF(OR('Project Info'!$B$16="Yes-Above", 'Project Info'!$B$16="Yes-Below (works only)"), "Yes", "No"), "")</f>
        <v>No</v>
      </c>
      <c r="BB3" s="519" t="str">
        <f>IF('Project Info'!$C$19&lt;&gt;"", 'Project Info'!$C$19, 'Project Info'!$B$19)</f>
        <v>myTenders</v>
      </c>
      <c r="BC3" s="520">
        <f t="array" ref="BC3">INDEX(TBL_002_Dates[Date], MATCH(1, ("SQ"=TBL_002_Dates[Stage])*("Issue"=TBL_002_Dates[Activity]),0))</f>
        <v>44280</v>
      </c>
      <c r="BD3" s="520">
        <f t="array" ref="BD3">INDEX(TBL_002_Dates[Date], MATCH(1, ("SQ"=TBL_002_Dates[Stage])*("Clarification"=TBL_002_Dates[Activity]),0))</f>
        <v>44302</v>
      </c>
      <c r="BE3" s="520">
        <f t="array" ref="BE3">INDEX(TBL_002_Dates[Date], MATCH(1, ("SQ"=TBL_002_Dates[Stage])*("Return"=TBL_002_Dates[Activity]),0))</f>
        <v>44312</v>
      </c>
      <c r="BF3" s="520" t="str">
        <f t="array" ref="BF3">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3" s="520">
        <f t="array" ref="BG3">INDEX(TBL_002_Dates[Date], MATCH(1, ("SQ"=TBL_002_Dates[Stage])*("Eval_start"=TBL_002_Dates[Activity]),0))</f>
        <v>44313</v>
      </c>
      <c r="BH3" s="520">
        <f t="array" ref="BH3">INDEX(TBL_002_Dates[Date], MATCH(1, ("SQ"=TBL_002_Dates[Stage])*("Eval_end"=TBL_002_Dates[Activity]),0))</f>
        <v>44316</v>
      </c>
      <c r="BI3" s="520">
        <f t="array" ref="BI3">INDEX(TBL_002_Dates[Date], MATCH(1, ("SQ"=TBL_002_Dates[Stage])*("Feedback"=TBL_002_Dates[Activity]),0))</f>
        <v>44321</v>
      </c>
      <c r="BJ3" s="520">
        <f t="array" ref="BJ3">INDEX(TBL_002_Dates[Date], MATCH(1, ("ITT"=TBL_002_Dates[Stage])*("Issue"=TBL_002_Dates[Activity]),0))</f>
        <v>44321</v>
      </c>
      <c r="BK3" s="520">
        <f t="array" ref="BK3">INDEX(TBL_002_Dates[Date], MATCH(1, ("ITT"=TBL_002_Dates[Stage])*("Clarification"=TBL_002_Dates[Activity]),0))</f>
        <v>44328</v>
      </c>
      <c r="BL3" s="520">
        <f t="array" ref="BL3">INDEX(TBL_002_Dates[Date], MATCH(1, ("ITT"=TBL_002_Dates[Stage])*("Return"=TBL_002_Dates[Activity]),0))</f>
        <v>44337</v>
      </c>
      <c r="BM3" s="520" t="str">
        <f t="array" ref="BM3">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3" s="520">
        <f t="array" ref="BN3">INDEX(TBL_002_Dates[Date], MATCH(1, ("ITT"=TBL_002_Dates[Stage])*("Eval_start"=TBL_002_Dates[Activity]),0))</f>
        <v>44340</v>
      </c>
      <c r="BO3" s="520">
        <f t="array" ref="BO3">INDEX(TBL_002_Dates[Date], MATCH(1, ("ITT"=TBL_002_Dates[Stage])*("Eval_end"=TBL_002_Dates[Activity]),0))</f>
        <v>44348</v>
      </c>
      <c r="BP3" s="520">
        <f t="array" ref="BP3">INDEX(TBL_002_Dates[Date], MATCH(1, ("Final"=TBL_002_Dates[Stage])*("Feedback"=TBL_002_Dates[Activity]),0))</f>
        <v>44350</v>
      </c>
      <c r="BQ3" s="520">
        <f t="array" ref="BQ3">INDEX(TBL_002_Dates[Date], MATCH(1, ("Mob"=TBL_002_Dates[Stage])*("Start"=TBL_002_Dates[Activity]),0))</f>
        <v>44351</v>
      </c>
      <c r="BR3"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3" s="520">
        <f t="array" ref="BS3">INDEX(TBL_002_Dates[Date], MATCH(1, ("Commence"=TBL_002_Dates[Stage])*("Commence"=TBL_002_Dates[Activity]),0))</f>
        <v>44378</v>
      </c>
      <c r="BT3" s="521" t="str">
        <f>VLOOKUP(MONTH(TBL_003_DocMerge[[#This Row],[Contract_commences]]), TBL_005_Month[], 2, FALSE)</f>
        <v>July</v>
      </c>
      <c r="BU3" s="522">
        <f>YEAR(TBL_003_DocMerge[[#This Row],[Contract_commences]])</f>
        <v>2021</v>
      </c>
      <c r="BV3" s="519">
        <f t="shared" si="3"/>
        <v>5</v>
      </c>
      <c r="BW3" s="519" t="s">
        <v>762</v>
      </c>
      <c r="BX3" s="519" t="str">
        <f t="shared" si="5"/>
        <v>No</v>
      </c>
      <c r="BY3" s="519" t="str">
        <f t="shared" si="6"/>
        <v>No</v>
      </c>
      <c r="BZ3" s="519">
        <f>'Project Info'!$B$113</f>
        <v>0</v>
      </c>
      <c r="CA3" s="519" t="str">
        <f t="array" ref="CA3">IFERROR(INDEX(TBL_007_LotInfo[Name], MATCH(1, (TBL_007_LotInfo[No]=1)*(TBL_007_LotInfo[Include?]="Yes"),0)), "[Remove]")</f>
        <v>General Builder</v>
      </c>
      <c r="CB3" s="519" t="str">
        <f t="array" ref="CB3">IFERROR(INDEX(TBL_007_LotInfo[Description], MATCH(1, (TBL_007_LotInfo[No]=1)*(TBL_007_LotInfo[Include?]="Yes"),0)), "[Remove]")</f>
        <v>multi-trade including carpentry, plastering, decorating, groundworks, brickworks, etc.</v>
      </c>
      <c r="CC3" s="519" t="str">
        <f t="array" ref="CC3">IFERROR(INDEX(TBL_007_LotInfo[Approx?], MATCH(1, (TBL_007_LotInfo[No]=1)*(TBL_007_LotInfo[Include?]="Yes"),0)), "[Remove]")</f>
        <v>approximately</v>
      </c>
      <c r="CD3" s="519">
        <f t="array" ref="CD3">IFERROR(INDEX(TBL_007_LotInfo[Props], MATCH(1, (TBL_007_LotInfo[No]=1)*(TBL_007_LotInfo[Include?]="Yes"),0)), "[Remove]")</f>
        <v>2200</v>
      </c>
      <c r="CE3" s="519" t="str">
        <f t="array" ref="CE3">IFERROR(INDEX(TBL_007_LotInfo[Type_Prop], MATCH(1, (TBL_007_LotInfo[No]=1)*(TBL_007_LotInfo[Include?]="Yes"),0)), "[Remove]")</f>
        <v>properties</v>
      </c>
      <c r="CF3" s="519" t="str">
        <f t="array" ref="CF3">IFERROR(INDEX(TBL_007_LotInfo[Value_type], MATCH(1, (TBL_007_LotInfo[No]=1)*(TBL_007_LotInfo[Include?]="Yes"),0)), "[Remove]")</f>
        <v>Single figure</v>
      </c>
      <c r="CG3" s="519">
        <f t="array" ref="CG3">IFERROR(INDEX(TBL_007_LotInfo[Value_Max], MATCH(1, (TBL_007_LotInfo[No]=1)*(TBL_007_LotInfo[Include?]="Yes"),0)), "[Remove]")</f>
        <v>350000</v>
      </c>
      <c r="CH3" s="519" t="str">
        <f t="array" ref="CH3">IFERROR(INDEX(TBL_007_LotInfo[Value_Min], MATCH(1, (TBL_007_LotInfo[No]=1)*(TBL_007_LotInfo[Include?]="Yes"),0)), "[Remove]")</f>
        <v/>
      </c>
      <c r="CI3" s="519" t="str">
        <f t="array" ref="CI3">IFERROR(IF(INDEX(TBL_007_LotInfo[Cons_Min], MATCH(1, (TBL_007_LotInfo[No]=1)*(TBL_007_LotInfo[Include?]="Yes"),0))&gt;10, INDEX(TBL_007_LotInfo[Cons_Min], MATCH(1, (TBL_007_LotInfo[No]=1)*(TBL_007_LotInfo[Include?]="Yes"),0)), VLOOKUP(INDEX(TBL_007_LotInfo[Cons_Min], MATCH(1, (TBL_007_LotInfo[No]=1)*(TBL_007_LotInfo[Include?]="Yes"),0)), TBL_004_nolookup[], 2, FALSE)), "[Remove]")</f>
        <v>one</v>
      </c>
      <c r="CJ3" s="519" t="str">
        <f t="array" ref="CJ3">IFERROR(IF(INDEX(TBL_007_LotInfo[Cons_Max], MATCH(1, (TBL_007_LotInfo[No]=1)*(TBL_007_LotInfo[Include?]="Yes"),0))&gt;10, INDEX(TBL_007_LotInfo[Cons_Max], MATCH(1, (TBL_007_LotInfo[No]=1)*(TBL_007_LotInfo[Include?]="Yes"),0)), VLOOKUP(INDEX(TBL_007_LotInfo[Cons_Max], MATCH(1, (TBL_007_LotInfo[No]=1)*(TBL_007_LotInfo[Include?]="Yes"),0)), TBL_004_nolookup[], 2, FALSE)), "[Remove]")</f>
        <v>one</v>
      </c>
      <c r="CK3" s="519" t="s">
        <v>24</v>
      </c>
      <c r="CL3" s="519" t="s">
        <v>24</v>
      </c>
      <c r="CM3" s="519" t="s">
        <v>24</v>
      </c>
      <c r="CN3" s="519" t="s">
        <v>24</v>
      </c>
      <c r="CO3" s="519" t="s">
        <v>24</v>
      </c>
      <c r="CP3" s="519" t="s">
        <v>24</v>
      </c>
      <c r="CQ3" s="519" t="s">
        <v>24</v>
      </c>
      <c r="CR3" s="519" t="s">
        <v>24</v>
      </c>
      <c r="CS3" s="519" t="s">
        <v>24</v>
      </c>
      <c r="CT3" s="519" t="s">
        <v>24</v>
      </c>
      <c r="CU3" s="519" t="s">
        <v>24</v>
      </c>
      <c r="CV3" s="519" t="s">
        <v>24</v>
      </c>
      <c r="CW3" s="519" t="s">
        <v>24</v>
      </c>
      <c r="CX3" s="519" t="s">
        <v>24</v>
      </c>
      <c r="CY3" s="519" t="s">
        <v>24</v>
      </c>
      <c r="CZ3" s="519" t="s">
        <v>24</v>
      </c>
      <c r="DA3" s="519" t="s">
        <v>24</v>
      </c>
      <c r="DB3" s="519" t="s">
        <v>24</v>
      </c>
      <c r="DC3" s="519" t="s">
        <v>24</v>
      </c>
      <c r="DD3" s="519" t="s">
        <v>24</v>
      </c>
      <c r="DE3" s="519" t="s">
        <v>24</v>
      </c>
      <c r="DF3" s="519" t="s">
        <v>24</v>
      </c>
      <c r="DG3" s="519" t="s">
        <v>24</v>
      </c>
      <c r="DH3" s="519" t="s">
        <v>24</v>
      </c>
      <c r="DI3" s="519" t="s">
        <v>24</v>
      </c>
      <c r="DJ3" s="519" t="s">
        <v>24</v>
      </c>
      <c r="DK3" s="519" t="s">
        <v>24</v>
      </c>
      <c r="DL3" s="519" t="s">
        <v>24</v>
      </c>
      <c r="DM3" s="519" t="s">
        <v>24</v>
      </c>
      <c r="DN3" s="519" t="s">
        <v>24</v>
      </c>
      <c r="DO3" s="519" t="s">
        <v>24</v>
      </c>
      <c r="DP3" s="519" t="s">
        <v>24</v>
      </c>
      <c r="DQ3" s="519" t="s">
        <v>24</v>
      </c>
      <c r="DR3" s="519" t="s">
        <v>24</v>
      </c>
      <c r="DS3" s="519" t="s">
        <v>24</v>
      </c>
      <c r="DT3" s="519" t="s">
        <v>24</v>
      </c>
      <c r="DU3" s="519" t="s">
        <v>24</v>
      </c>
      <c r="DV3" s="519" t="s">
        <v>24</v>
      </c>
      <c r="DW3" s="519" t="s">
        <v>24</v>
      </c>
      <c r="DX3" s="519" t="s">
        <v>24</v>
      </c>
      <c r="DY3" s="519" t="s">
        <v>24</v>
      </c>
      <c r="DZ3" s="519" t="s">
        <v>24</v>
      </c>
      <c r="EA3" s="519" t="s">
        <v>24</v>
      </c>
      <c r="EB3" s="519" t="s">
        <v>24</v>
      </c>
      <c r="EC3" s="519" t="s">
        <v>24</v>
      </c>
      <c r="ED3" s="519" t="s">
        <v>24</v>
      </c>
      <c r="EE3" s="519" t="s">
        <v>24</v>
      </c>
      <c r="EF3" s="519" t="s">
        <v>24</v>
      </c>
      <c r="EG3" s="519" t="s">
        <v>24</v>
      </c>
      <c r="EH3" s="519" t="s">
        <v>24</v>
      </c>
      <c r="EI3" s="519" t="str">
        <f>'Project Info'!$B$27</f>
        <v>No</v>
      </c>
      <c r="EJ3" s="519" t="str">
        <f>IF(TBL_003_DocMerge[[#This Row],[Limit_Award?]]="Yes", IF('Project Info'!$B$28&lt;=10, VLOOKUP('Project Info'!$B$28, TBL_004_nolookup[], 2, FALSE), 'Project Info'!$B$28), "N/A")</f>
        <v>N/A</v>
      </c>
      <c r="EK3" s="519" t="str">
        <f>'Project Info'!$B$20</f>
        <v>SQ</v>
      </c>
      <c r="EL3" s="519" t="str">
        <f>IF(TBL_003_DocMerge[[#This Row],[Tender_Stage]]="SQ", "Candidate", "Tenderer")</f>
        <v>Candidate</v>
      </c>
      <c r="EM3" s="523" t="str">
        <f>IF(OR('Project Info'!$B$18="Open Procedure", 'Project Info'!$B$20="SQ", ), IF('Project Info'!$B$17="SQ", IF('Part 1_Supplier Info'!$C$9&lt;&gt;"", 'Part 1_Supplier Info'!$C$9, ""), IF('Project Info'!$B$17="PAS", IF(#REF!&lt;&gt;"",#REF!, ""),  IF(#REF!&lt;&gt;"",#REF!, ""))), IF(#REF!&lt;&gt;"",#REF!, ""))</f>
        <v/>
      </c>
    </row>
    <row r="4" spans="1:143" ht="28" hidden="1">
      <c r="A4" s="519" t="s">
        <v>806</v>
      </c>
      <c r="B4" s="524" t="s">
        <v>790</v>
      </c>
      <c r="C4" s="513" t="str">
        <f>'Project Info'!$B$3</f>
        <v>T1-5622</v>
      </c>
      <c r="D4" s="470" t="str">
        <f>'Project Info'!$B$7</f>
        <v>Islington and Shoreditch Housing Association</v>
      </c>
      <c r="E4" s="470" t="str">
        <f>'Project Info'!$B$8</f>
        <v>ISHA</v>
      </c>
      <c r="F4" s="470" t="str">
        <f>CONCATENATE('Project Info'!$B$9, " for ", TBL_003_DocMerge[[#This Row],[Lot_Ref]], " (", TBL_003_DocMerge[[#This Row],[Lot_1_Name]], ")")</f>
        <v>Dynamic Purchasing System - Responsive Repairs and Voids for Lot 2 (Plumbing)</v>
      </c>
      <c r="G4" s="470" t="str">
        <f>'Project Info'!$B$10</f>
        <v>reactive maintenance services</v>
      </c>
      <c r="H4" s="470" t="str">
        <f>'Project Info'!$B$11</f>
        <v xml:space="preserve">102 Blackstock Road, London N4 2DR </v>
      </c>
      <c r="I4" s="470" t="str">
        <f>'Project Info'!$B$12</f>
        <v>North and East London</v>
      </c>
      <c r="J4" s="470" t="str">
        <f>'Project Info'!$B$4</f>
        <v>Emma Pell</v>
      </c>
      <c r="K4" s="470" t="str">
        <f>'Project Info'!$C$4</f>
        <v>EP</v>
      </c>
      <c r="L4" s="470" t="str">
        <f>'Project Info'!$B$5</f>
        <v>Jennifer Hopkins</v>
      </c>
      <c r="M4" s="470" t="str">
        <f>IF('Project Info'!$B$6&lt;&gt;"", VLOOKUP('Project Info'!$B$6, TBL_033_Offices[], 2, FALSE), "To be added")</f>
        <v>Central Court, Knoll Rise, Orpington, BR6 0JA</v>
      </c>
      <c r="N4" s="470" t="str">
        <f>IF('Project Info'!$B$6&lt;&gt;"", VLOOKUP('Project Info'!$B$6, TBL_033_Offices[], 3, FALSE), "To be added")</f>
        <v>01689 885 080</v>
      </c>
      <c r="O4"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44280</v>
      </c>
      <c r="P4" s="470" t="str">
        <f>IF('Project Info'!$B$18&lt;&gt;"", 'Project Info'!$B$18, "")</f>
        <v>Restricted Procedure</v>
      </c>
      <c r="Q4" s="470" t="str">
        <f>IF(OR('Project Info'!$B$15=Lookups!$F$7, 'Project Info'!$B$15=Lookups!$F$8), "Below", IF('Project Info'!$B$14="works", IF('Project Info'!$B$15=Lookups!$F$10, "Above", "Below"), IF('Project Info'!$B$15=Lookups!$G$9, "Above", "Below")))</f>
        <v>Above</v>
      </c>
      <c r="R4" s="470" t="str">
        <f>IF('Project Info'!$B$18="Open Procedure", "Request to Participate and Tender", IF('Project Info'!$B$20="SQ", "Request to Participate", IF('Project Info'!$B$20="Tender", 'Project Info'!$B$20, CONCATENATE('Project Info'!$B$20, " Tender"))))</f>
        <v>Request to Participate</v>
      </c>
      <c r="S4" s="470" t="str">
        <f>IF('Project Info'!$B$18="Open Procedure", CONCATENATE('Project Info'!$B$17," and Tender"), IF('Project Info'!$B$20="SQ", 'Project Info'!$B$17, IF(OR('Project Info'!$B$20="Initial",'Project Info'!$B$20="Final"),CONCATENATE('Project Info'!$B$20," tender"), "Tender")))</f>
        <v>SQ</v>
      </c>
      <c r="T4" s="470" t="str">
        <f>IF('Project Info'!$B$17&lt;&gt;"", 'Project Info'!$B$17, "")</f>
        <v>SQ</v>
      </c>
      <c r="U4" s="470" t="str">
        <f>'Project Info'!$B$14</f>
        <v>services</v>
      </c>
      <c r="V4" s="470" t="str">
        <f>'Project Info'!$B$13</f>
        <v>contract</v>
      </c>
      <c r="W4" s="470">
        <f>'Project Info'!$B$49</f>
        <v>0</v>
      </c>
      <c r="X4" s="470" t="str">
        <f>'Project Info'!$B$23</f>
        <v>Yes</v>
      </c>
      <c r="Y4" s="470">
        <f>IF('Project Info'!$B$24="N/A", "N/A", 'Project Info'!$B$24)</f>
        <v>6</v>
      </c>
      <c r="Z4" s="470" t="str">
        <f>IF(Lotted?="Yes", IF('Project Info'!$B$24="N/A", "N/A", IF('Project Info'!$B$24&gt;=11, CONCATENATE('Project Info'!$B$24, " lots"), CONCATENATE(VLOOKUP('Project Info'!$B$24, TBL_004_nolookup[], 2, FALSE), " lots"))), "N/A")</f>
        <v>six lots</v>
      </c>
      <c r="AA4" s="470" t="e">
        <f>IF('Project Info'!$B$31&gt;=11, 'Project Info'!$B$31, VLOOKUP('Project Info'!$B$31, TBL_004_nolookup[], 2, FALSE))</f>
        <v>#N/A</v>
      </c>
      <c r="AB4" s="470">
        <f>IF('Project Info'!$B$49="Other (please provide info)", 'Project Info'!$C$50, 'Project Info'!$B$50)</f>
        <v>0</v>
      </c>
      <c r="AC4" s="470">
        <f>IF('Project Info'!$B$49="Partnering", IF('Project Info'!$B$50="ACA Standard Form of Contract for Term Partnering (TPC 2005 – Amended 2008) published by The Association of Consultant Architects Ltd.  (ACA)", "TPC", "TAC"), 'Project Info'!$B$49)</f>
        <v>0</v>
      </c>
      <c r="AD4" s="470" t="str">
        <f>'Project Info'!$C$51</f>
        <v>consultant(s)</v>
      </c>
      <c r="AE4" s="470" t="str">
        <f>'Project Info'!$B$52</f>
        <v>Contract Administrator</v>
      </c>
      <c r="AF4" s="470" t="str">
        <f>'Project Info'!$C$52</f>
        <v>CA</v>
      </c>
      <c r="AG4" s="470" t="str">
        <f>IF('Project Info'!$B$49="Partnering", "Price Framework", "Tender Book")</f>
        <v>Tender Book</v>
      </c>
      <c r="AH4" s="470">
        <f>'Project Info'!$B$53</f>
        <v>0</v>
      </c>
      <c r="AI4"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4"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4"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4" s="470">
        <f>'Project Info'!$B$56</f>
        <v>0</v>
      </c>
      <c r="AM4" s="470" t="str">
        <f>IF(TBL_003_DocMerge[[#This Row],[annually_renewable]]="Yes - extensions on an annually renewable basis", "on an annually renewable basis",'Project Info'!$C$56)</f>
        <v/>
      </c>
      <c r="AN4" s="470" t="str">
        <f>'Project Info'!$B$65</f>
        <v>approximately</v>
      </c>
      <c r="AO4" s="470">
        <f>'Project Info'!$B$64</f>
        <v>2200</v>
      </c>
      <c r="AP4" s="470" t="str">
        <f>'Project Info'!$B$66</f>
        <v>No</v>
      </c>
      <c r="AQ4" s="470">
        <f>'Project Info'!$B$102</f>
        <v>0</v>
      </c>
      <c r="AR4" s="470">
        <f>'Project Info'!$B$103</f>
        <v>0</v>
      </c>
      <c r="AS4" s="470" t="str">
        <f t="shared" si="0"/>
        <v>Not applicable</v>
      </c>
      <c r="AT4" s="470">
        <f t="shared" si="1"/>
        <v>0</v>
      </c>
      <c r="AU4" s="470" t="str">
        <f>'Project Info'!$B$61</f>
        <v/>
      </c>
      <c r="AV4" s="525">
        <f>'Project Info'!$B$68</f>
        <v>10000000</v>
      </c>
      <c r="AW4" s="525">
        <f>'Project Info'!$B$69</f>
        <v>10000000</v>
      </c>
      <c r="AX4" s="525">
        <f>'Project Info'!$B$70</f>
        <v>200000</v>
      </c>
      <c r="AY4" s="525">
        <f>'Project Info'!$B$71</f>
        <v>0</v>
      </c>
      <c r="AZ4" s="526" t="str">
        <f t="shared" si="2"/>
        <v>No</v>
      </c>
      <c r="BA4" s="527" t="str">
        <f>IF('Project Info'!$B$16&lt;&gt;"", IF(OR('Project Info'!$B$16="Yes-Above", 'Project Info'!$B$16="Yes-Below (works only)"), "Yes", "No"), "")</f>
        <v>No</v>
      </c>
      <c r="BB4" s="519" t="str">
        <f>IF('Project Info'!$C$19&lt;&gt;"", 'Project Info'!$C$19, 'Project Info'!$B$19)</f>
        <v>myTenders</v>
      </c>
      <c r="BC4" s="520">
        <f t="array" ref="BC4">INDEX(TBL_002_Dates[Date], MATCH(1, ("SQ"=TBL_002_Dates[Stage])*("Issue"=TBL_002_Dates[Activity]),0))</f>
        <v>44280</v>
      </c>
      <c r="BD4" s="520">
        <f t="array" ref="BD4">INDEX(TBL_002_Dates[Date], MATCH(1, ("SQ"=TBL_002_Dates[Stage])*("Clarification"=TBL_002_Dates[Activity]),0))</f>
        <v>44302</v>
      </c>
      <c r="BE4" s="520">
        <f t="array" ref="BE4">INDEX(TBL_002_Dates[Date], MATCH(1, ("SQ"=TBL_002_Dates[Stage])*("Return"=TBL_002_Dates[Activity]),0))</f>
        <v>44312</v>
      </c>
      <c r="BF4" s="520" t="str">
        <f t="array" ref="BF4">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4" s="520">
        <f t="array" ref="BG4">INDEX(TBL_002_Dates[Date], MATCH(1, ("SQ"=TBL_002_Dates[Stage])*("Eval_start"=TBL_002_Dates[Activity]),0))</f>
        <v>44313</v>
      </c>
      <c r="BH4" s="520">
        <f t="array" ref="BH4">INDEX(TBL_002_Dates[Date], MATCH(1, ("SQ"=TBL_002_Dates[Stage])*("Eval_end"=TBL_002_Dates[Activity]),0))</f>
        <v>44316</v>
      </c>
      <c r="BI4" s="520">
        <f t="array" ref="BI4">INDEX(TBL_002_Dates[Date], MATCH(1, ("SQ"=TBL_002_Dates[Stage])*("Feedback"=TBL_002_Dates[Activity]),0))</f>
        <v>44321</v>
      </c>
      <c r="BJ4" s="520">
        <f t="array" ref="BJ4">INDEX(TBL_002_Dates[Date], MATCH(1, ("ITT"=TBL_002_Dates[Stage])*("Issue"=TBL_002_Dates[Activity]),0))</f>
        <v>44321</v>
      </c>
      <c r="BK4" s="520">
        <f t="array" ref="BK4">INDEX(TBL_002_Dates[Date], MATCH(1, ("ITT"=TBL_002_Dates[Stage])*("Clarification"=TBL_002_Dates[Activity]),0))</f>
        <v>44328</v>
      </c>
      <c r="BL4" s="520">
        <f t="array" ref="BL4">INDEX(TBL_002_Dates[Date], MATCH(1, ("ITT"=TBL_002_Dates[Stage])*("Return"=TBL_002_Dates[Activity]),0))</f>
        <v>44337</v>
      </c>
      <c r="BM4" s="520" t="str">
        <f t="array" ref="BM4">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4" s="520">
        <f t="array" ref="BN4">INDEX(TBL_002_Dates[Date], MATCH(1, ("ITT"=TBL_002_Dates[Stage])*("Eval_start"=TBL_002_Dates[Activity]),0))</f>
        <v>44340</v>
      </c>
      <c r="BO4" s="520">
        <f t="array" ref="BO4">INDEX(TBL_002_Dates[Date], MATCH(1, ("ITT"=TBL_002_Dates[Stage])*("Eval_end"=TBL_002_Dates[Activity]),0))</f>
        <v>44348</v>
      </c>
      <c r="BP4" s="520">
        <f t="array" ref="BP4">INDEX(TBL_002_Dates[Date], MATCH(1, ("Final"=TBL_002_Dates[Stage])*("Feedback"=TBL_002_Dates[Activity]),0))</f>
        <v>44350</v>
      </c>
      <c r="BQ4" s="520">
        <f t="array" ref="BQ4">INDEX(TBL_002_Dates[Date], MATCH(1, ("Mob"=TBL_002_Dates[Stage])*("Start"=TBL_002_Dates[Activity]),0))</f>
        <v>44351</v>
      </c>
      <c r="BR4"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4" s="520">
        <f t="array" ref="BS4">INDEX(TBL_002_Dates[Date], MATCH(1, ("Commence"=TBL_002_Dates[Stage])*("Commence"=TBL_002_Dates[Activity]),0))</f>
        <v>44378</v>
      </c>
      <c r="BT4" s="521" t="str">
        <f>VLOOKUP(MONTH(TBL_003_DocMerge[[#This Row],[Contract_commences]]), TBL_005_Month[], 2, FALSE)</f>
        <v>July</v>
      </c>
      <c r="BU4" s="522">
        <f>YEAR(TBL_003_DocMerge[[#This Row],[Contract_commences]])</f>
        <v>2021</v>
      </c>
      <c r="BV4" s="519">
        <f t="shared" si="3"/>
        <v>5</v>
      </c>
      <c r="BW4" s="519" t="s">
        <v>762</v>
      </c>
      <c r="BX4" s="519" t="str">
        <f t="shared" si="5"/>
        <v>No</v>
      </c>
      <c r="BY4" s="519" t="str">
        <f t="shared" si="6"/>
        <v>No</v>
      </c>
      <c r="BZ4" s="519">
        <f>'Project Info'!$B$113</f>
        <v>0</v>
      </c>
      <c r="CA4" s="519" t="str">
        <f t="array" ref="CA4">IFERROR(INDEX(TBL_007_LotInfo[Name], MATCH(1, (TBL_007_LotInfo[No]=2)*(TBL_007_LotInfo[Include?]="Yes"),0)), "[Remove]")</f>
        <v>Plumbing</v>
      </c>
      <c r="CB4" s="519" t="str">
        <f t="array" ref="CB4">IFERROR(INDEX(TBL_007_LotInfo[Description], MATCH(1, (TBL_007_LotInfo[No]=2)*(TBL_007_LotInfo[Include?]="Yes"),0)), "[Remove]")</f>
        <v/>
      </c>
      <c r="CC4" s="519" t="str">
        <f t="array" ref="CC4">IFERROR(INDEX(TBL_007_LotInfo[Approx?], MATCH(1, (TBL_007_LotInfo[No]=2)*(TBL_007_LotInfo[Include?]="Yes"),0)), "[Remove]")</f>
        <v>approximately</v>
      </c>
      <c r="CD4" s="519">
        <f t="array" ref="CD4">IFERROR(INDEX(TBL_007_LotInfo[Props], MATCH(1, (TBL_007_LotInfo[No]=2)*(TBL_007_LotInfo[Include?]="Yes"),0)), "[Remove]")</f>
        <v>2200</v>
      </c>
      <c r="CE4" s="519" t="str">
        <f t="array" ref="CE4">IFERROR(INDEX(TBL_007_LotInfo[Type_Prop], MATCH(1, (TBL_007_LotInfo[No]=2)*(TBL_007_LotInfo[Include?]="Yes"),0)), "[Remove]")</f>
        <v>properties</v>
      </c>
      <c r="CF4" s="519" t="str">
        <f t="array" ref="CF4">IFERROR(INDEX(TBL_007_LotInfo[Value_type], MATCH(1, (TBL_007_LotInfo[No]=2)*(TBL_007_LotInfo[Include?]="Yes"),0)), "[Remove]")</f>
        <v>Single figure</v>
      </c>
      <c r="CG4" s="519">
        <f t="array" ref="CG4">IFERROR(INDEX(TBL_007_LotInfo[Value_Max], MATCH(1, (TBL_007_LotInfo[No]=2)*(TBL_007_LotInfo[Include?]="Yes"),0)), "[Remove]")</f>
        <v>155000</v>
      </c>
      <c r="CH4" s="519" t="str">
        <f t="array" ref="CH4">IFERROR(INDEX(TBL_007_LotInfo[Value_Min], MATCH(1, (TBL_007_LotInfo[No]=2)*(TBL_007_LotInfo[Include?]="Yes"),0)), "[Remove]")</f>
        <v/>
      </c>
      <c r="CI4" s="519" t="str">
        <f t="array" ref="CI4">IFERROR(IF(INDEX(TBL_007_LotInfo[Cons_Min], MATCH(1, (TBL_007_LotInfo[No]=2)*(TBL_007_LotInfo[Include?]="Yes"),0))&gt;10, INDEX(TBL_007_LotInfo[Cons_Min], MATCH(1, (TBL_007_LotInfo[No]=2)*(TBL_007_LotInfo[Include?]="Yes"),0)), VLOOKUP(INDEX(TBL_007_LotInfo[Cons_Min], MATCH(1, (TBL_007_LotInfo[No]=2)*(TBL_007_LotInfo[Include?]="Yes"),0)), TBL_004_nolookup[], 2, FALSE)), "[Remove]")</f>
        <v>one</v>
      </c>
      <c r="CJ4" s="519" t="str">
        <f t="array" ref="CJ4">IFERROR(IF(INDEX(TBL_007_LotInfo[Cons_Max], MATCH(1, (TBL_007_LotInfo[No]=2)*(TBL_007_LotInfo[Include?]="Yes"),0))&gt;10, INDEX(TBL_007_LotInfo[Cons_Max], MATCH(1, (TBL_007_LotInfo[No]=2)*(TBL_007_LotInfo[Include?]="Yes"),0)), VLOOKUP(INDEX(TBL_007_LotInfo[Cons_Max], MATCH(1, (TBL_007_LotInfo[No]=2)*(TBL_007_LotInfo[Include?]="Yes"),0)), TBL_004_nolookup[], 2, FALSE)), "[Remove]")</f>
        <v>one</v>
      </c>
      <c r="CK4" s="519" t="s">
        <v>24</v>
      </c>
      <c r="CL4" s="519" t="s">
        <v>24</v>
      </c>
      <c r="CM4" s="519" t="s">
        <v>24</v>
      </c>
      <c r="CN4" s="519" t="s">
        <v>24</v>
      </c>
      <c r="CO4" s="519" t="s">
        <v>24</v>
      </c>
      <c r="CP4" s="519" t="s">
        <v>24</v>
      </c>
      <c r="CQ4" s="519" t="s">
        <v>24</v>
      </c>
      <c r="CR4" s="519" t="s">
        <v>24</v>
      </c>
      <c r="CS4" s="519" t="s">
        <v>24</v>
      </c>
      <c r="CT4" s="519" t="s">
        <v>24</v>
      </c>
      <c r="CU4" s="519" t="s">
        <v>24</v>
      </c>
      <c r="CV4" s="519" t="s">
        <v>24</v>
      </c>
      <c r="CW4" s="519" t="s">
        <v>24</v>
      </c>
      <c r="CX4" s="519" t="s">
        <v>24</v>
      </c>
      <c r="CY4" s="519" t="s">
        <v>24</v>
      </c>
      <c r="CZ4" s="519" t="s">
        <v>24</v>
      </c>
      <c r="DA4" s="519" t="s">
        <v>24</v>
      </c>
      <c r="DB4" s="519" t="s">
        <v>24</v>
      </c>
      <c r="DC4" s="519" t="s">
        <v>24</v>
      </c>
      <c r="DD4" s="519" t="s">
        <v>24</v>
      </c>
      <c r="DE4" s="519" t="s">
        <v>24</v>
      </c>
      <c r="DF4" s="519" t="s">
        <v>24</v>
      </c>
      <c r="DG4" s="519" t="s">
        <v>24</v>
      </c>
      <c r="DH4" s="519" t="s">
        <v>24</v>
      </c>
      <c r="DI4" s="519" t="s">
        <v>24</v>
      </c>
      <c r="DJ4" s="519" t="s">
        <v>24</v>
      </c>
      <c r="DK4" s="519" t="s">
        <v>24</v>
      </c>
      <c r="DL4" s="519" t="s">
        <v>24</v>
      </c>
      <c r="DM4" s="519" t="s">
        <v>24</v>
      </c>
      <c r="DN4" s="519" t="s">
        <v>24</v>
      </c>
      <c r="DO4" s="519" t="s">
        <v>24</v>
      </c>
      <c r="DP4" s="519" t="s">
        <v>24</v>
      </c>
      <c r="DQ4" s="519" t="s">
        <v>24</v>
      </c>
      <c r="DR4" s="519" t="s">
        <v>24</v>
      </c>
      <c r="DS4" s="519" t="s">
        <v>24</v>
      </c>
      <c r="DT4" s="519" t="s">
        <v>24</v>
      </c>
      <c r="DU4" s="519" t="s">
        <v>24</v>
      </c>
      <c r="DV4" s="519" t="s">
        <v>24</v>
      </c>
      <c r="DW4" s="519" t="s">
        <v>24</v>
      </c>
      <c r="DX4" s="519" t="s">
        <v>24</v>
      </c>
      <c r="DY4" s="519" t="s">
        <v>24</v>
      </c>
      <c r="DZ4" s="519" t="s">
        <v>24</v>
      </c>
      <c r="EA4" s="519" t="s">
        <v>24</v>
      </c>
      <c r="EB4" s="519" t="s">
        <v>24</v>
      </c>
      <c r="EC4" s="519" t="s">
        <v>24</v>
      </c>
      <c r="ED4" s="519" t="s">
        <v>24</v>
      </c>
      <c r="EE4" s="519" t="s">
        <v>24</v>
      </c>
      <c r="EF4" s="519" t="s">
        <v>24</v>
      </c>
      <c r="EG4" s="519" t="s">
        <v>24</v>
      </c>
      <c r="EH4" s="519" t="s">
        <v>24</v>
      </c>
      <c r="EI4" s="519" t="str">
        <f>'Project Info'!$B$27</f>
        <v>No</v>
      </c>
      <c r="EJ4" s="519" t="str">
        <f>IF(TBL_003_DocMerge[[#This Row],[Limit_Award?]]="Yes", IF('Project Info'!$B$28&lt;=10, VLOOKUP('Project Info'!$B$28, TBL_004_nolookup[], 2, FALSE), 'Project Info'!$B$28), "N/A")</f>
        <v>N/A</v>
      </c>
      <c r="EK4" s="519" t="str">
        <f>'Project Info'!$B$20</f>
        <v>SQ</v>
      </c>
      <c r="EL4" s="519" t="str">
        <f>IF(TBL_003_DocMerge[[#This Row],[Tender_Stage]]="SQ", "Candidate", "Tenderer")</f>
        <v>Candidate</v>
      </c>
      <c r="EM4" s="523" t="str">
        <f>IF(OR('Project Info'!$B$18="Open Procedure", 'Project Info'!$B$20="SQ", ), IF('Project Info'!$B$17="SQ", IF('Part 1_Supplier Info'!$C$9&lt;&gt;"", 'Part 1_Supplier Info'!$C$9, ""), IF('Project Info'!$B$17="PAS", IF(#REF!&lt;&gt;"",#REF!, ""),  IF(#REF!&lt;&gt;"",#REF!, ""))), IF(#REF!&lt;&gt;"",#REF!, ""))</f>
        <v/>
      </c>
    </row>
    <row r="5" spans="1:143" ht="28" hidden="1">
      <c r="A5" s="519" t="s">
        <v>809</v>
      </c>
      <c r="B5" s="524" t="s">
        <v>791</v>
      </c>
      <c r="C5" s="513" t="str">
        <f>'Project Info'!$B$3</f>
        <v>T1-5622</v>
      </c>
      <c r="D5" s="470" t="str">
        <f>'Project Info'!$B$7</f>
        <v>Islington and Shoreditch Housing Association</v>
      </c>
      <c r="E5" s="470" t="str">
        <f>'Project Info'!$B$8</f>
        <v>ISHA</v>
      </c>
      <c r="F5" s="470" t="str">
        <f>CONCATENATE('Project Info'!$B$9, " for ", TBL_003_DocMerge[[#This Row],[Lot_Ref]], " (", TBL_003_DocMerge[[#This Row],[Lot_1_Name]], ")")</f>
        <v>Dynamic Purchasing System - Responsive Repairs and Voids for Lot 3 (Electrics)</v>
      </c>
      <c r="G5" s="470" t="str">
        <f>'Project Info'!$B$10</f>
        <v>reactive maintenance services</v>
      </c>
      <c r="H5" s="470" t="str">
        <f>'Project Info'!$B$11</f>
        <v xml:space="preserve">102 Blackstock Road, London N4 2DR </v>
      </c>
      <c r="I5" s="470" t="str">
        <f>'Project Info'!$B$12</f>
        <v>North and East London</v>
      </c>
      <c r="J5" s="470" t="str">
        <f>'Project Info'!$B$4</f>
        <v>Emma Pell</v>
      </c>
      <c r="K5" s="470" t="str">
        <f>'Project Info'!$C$4</f>
        <v>EP</v>
      </c>
      <c r="L5" s="470" t="str">
        <f>'Project Info'!$B$5</f>
        <v>Jennifer Hopkins</v>
      </c>
      <c r="M5" s="470" t="str">
        <f>IF('Project Info'!$B$6&lt;&gt;"", VLOOKUP('Project Info'!$B$6, TBL_033_Offices[], 2, FALSE), "To be added")</f>
        <v>Central Court, Knoll Rise, Orpington, BR6 0JA</v>
      </c>
      <c r="N5" s="470" t="str">
        <f>IF('Project Info'!$B$6&lt;&gt;"", VLOOKUP('Project Info'!$B$6, TBL_033_Offices[], 3, FALSE), "To be added")</f>
        <v>01689 885 080</v>
      </c>
      <c r="O5"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44280</v>
      </c>
      <c r="P5" s="470" t="str">
        <f>IF('Project Info'!$B$18&lt;&gt;"", 'Project Info'!$B$18, "")</f>
        <v>Restricted Procedure</v>
      </c>
      <c r="Q5" s="470" t="str">
        <f>IF(OR('Project Info'!$B$15=Lookups!$F$7, 'Project Info'!$B$15=Lookups!$F$8), "Below", IF('Project Info'!$B$14="works", IF('Project Info'!$B$15=Lookups!$F$10, "Above", "Below"), IF('Project Info'!$B$15=Lookups!$G$9, "Above", "Below")))</f>
        <v>Above</v>
      </c>
      <c r="R5" s="470" t="str">
        <f>IF('Project Info'!$B$18="Open Procedure", "Request to Participate and Tender", IF('Project Info'!$B$20="SQ", "Request to Participate", IF('Project Info'!$B$20="Tender", 'Project Info'!$B$20, CONCATENATE('Project Info'!$B$20, " Tender"))))</f>
        <v>Request to Participate</v>
      </c>
      <c r="S5" s="470" t="str">
        <f>IF('Project Info'!$B$18="Open Procedure", CONCATENATE('Project Info'!$B$17," and Tender"), IF('Project Info'!$B$20="SQ", 'Project Info'!$B$17, IF(OR('Project Info'!$B$20="Initial",'Project Info'!$B$20="Final"),CONCATENATE('Project Info'!$B$20," tender"), "Tender")))</f>
        <v>SQ</v>
      </c>
      <c r="T5" s="470" t="str">
        <f>IF('Project Info'!$B$17&lt;&gt;"", 'Project Info'!$B$17, "")</f>
        <v>SQ</v>
      </c>
      <c r="U5" s="470" t="str">
        <f>'Project Info'!$B$14</f>
        <v>services</v>
      </c>
      <c r="V5" s="470" t="str">
        <f>'Project Info'!$B$13</f>
        <v>contract</v>
      </c>
      <c r="W5" s="470">
        <f>'Project Info'!$B$49</f>
        <v>0</v>
      </c>
      <c r="X5" s="470" t="str">
        <f>'Project Info'!$B$23</f>
        <v>Yes</v>
      </c>
      <c r="Y5" s="470">
        <f>IF('Project Info'!$B$24="N/A", "N/A", 'Project Info'!$B$24)</f>
        <v>6</v>
      </c>
      <c r="Z5" s="470" t="str">
        <f>IF(Lotted?="Yes", IF('Project Info'!$B$24="N/A", "N/A", IF('Project Info'!$B$24&gt;=11, CONCATENATE('Project Info'!$B$24, " lots"), CONCATENATE(VLOOKUP('Project Info'!$B$24, TBL_004_nolookup[], 2, FALSE), " lots"))), "N/A")</f>
        <v>six lots</v>
      </c>
      <c r="AA5" s="470" t="e">
        <f>IF('Project Info'!$B$31&gt;=11, 'Project Info'!$B$31, VLOOKUP('Project Info'!$B$31, TBL_004_nolookup[], 2, FALSE))</f>
        <v>#N/A</v>
      </c>
      <c r="AB5" s="470">
        <f>IF('Project Info'!$B$49="Other (please provide info)", 'Project Info'!$C$50, 'Project Info'!$B$50)</f>
        <v>0</v>
      </c>
      <c r="AC5" s="470">
        <f>IF('Project Info'!$B$49="Partnering", IF('Project Info'!$B$50="ACA Standard Form of Contract for Term Partnering (TPC 2005 – Amended 2008) published by The Association of Consultant Architects Ltd.  (ACA)", "TPC", "TAC"), 'Project Info'!$B$49)</f>
        <v>0</v>
      </c>
      <c r="AD5" s="470" t="str">
        <f>'Project Info'!$C$51</f>
        <v>consultant(s)</v>
      </c>
      <c r="AE5" s="470" t="str">
        <f>'Project Info'!$B$52</f>
        <v>Contract Administrator</v>
      </c>
      <c r="AF5" s="470" t="str">
        <f>'Project Info'!$C$52</f>
        <v>CA</v>
      </c>
      <c r="AG5" s="470" t="str">
        <f>IF('Project Info'!$B$49="Partnering", "Price Framework", "Tender Book")</f>
        <v>Tender Book</v>
      </c>
      <c r="AH5" s="470">
        <f>'Project Info'!$B$53</f>
        <v>0</v>
      </c>
      <c r="AI5"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5"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5"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5" s="470">
        <f>'Project Info'!$B$56</f>
        <v>0</v>
      </c>
      <c r="AM5" s="470" t="str">
        <f>IF(TBL_003_DocMerge[[#This Row],[annually_renewable]]="Yes - extensions on an annually renewable basis", "on an annually renewable basis",'Project Info'!$C$56)</f>
        <v/>
      </c>
      <c r="AN5" s="470" t="str">
        <f>'Project Info'!$B$65</f>
        <v>approximately</v>
      </c>
      <c r="AO5" s="470">
        <f>'Project Info'!$B$64</f>
        <v>2200</v>
      </c>
      <c r="AP5" s="470" t="str">
        <f>'Project Info'!$B$66</f>
        <v>No</v>
      </c>
      <c r="AQ5" s="470">
        <f>'Project Info'!$B$102</f>
        <v>0</v>
      </c>
      <c r="AR5" s="470">
        <f>'Project Info'!$B$103</f>
        <v>0</v>
      </c>
      <c r="AS5" s="470" t="str">
        <f t="shared" si="0"/>
        <v>Not applicable</v>
      </c>
      <c r="AT5" s="470">
        <f t="shared" si="1"/>
        <v>0</v>
      </c>
      <c r="AU5" s="470" t="str">
        <f>'Project Info'!$B$61</f>
        <v/>
      </c>
      <c r="AV5" s="525">
        <f>'Project Info'!$B$68</f>
        <v>10000000</v>
      </c>
      <c r="AW5" s="525">
        <f>'Project Info'!$B$69</f>
        <v>10000000</v>
      </c>
      <c r="AX5" s="525">
        <f>'Project Info'!$B$70</f>
        <v>200000</v>
      </c>
      <c r="AY5" s="525">
        <f>'Project Info'!$B$71</f>
        <v>0</v>
      </c>
      <c r="AZ5" s="526" t="str">
        <f t="shared" si="2"/>
        <v>No</v>
      </c>
      <c r="BA5" s="527" t="str">
        <f>IF('Project Info'!$B$16&lt;&gt;"", IF(OR('Project Info'!$B$16="Yes-Above", 'Project Info'!$B$16="Yes-Below (works only)"), "Yes", "No"), "")</f>
        <v>No</v>
      </c>
      <c r="BB5" s="519" t="str">
        <f>IF('Project Info'!$C$19&lt;&gt;"", 'Project Info'!$C$19, 'Project Info'!$B$19)</f>
        <v>myTenders</v>
      </c>
      <c r="BC5" s="520">
        <f t="array" ref="BC5">INDEX(TBL_002_Dates[Date], MATCH(1, ("SQ"=TBL_002_Dates[Stage])*("Issue"=TBL_002_Dates[Activity]),0))</f>
        <v>44280</v>
      </c>
      <c r="BD5" s="520">
        <f t="array" ref="BD5">INDEX(TBL_002_Dates[Date], MATCH(1, ("SQ"=TBL_002_Dates[Stage])*("Clarification"=TBL_002_Dates[Activity]),0))</f>
        <v>44302</v>
      </c>
      <c r="BE5" s="520">
        <f t="array" ref="BE5">INDEX(TBL_002_Dates[Date], MATCH(1, ("SQ"=TBL_002_Dates[Stage])*("Return"=TBL_002_Dates[Activity]),0))</f>
        <v>44312</v>
      </c>
      <c r="BF5" s="520" t="str">
        <f t="array" ref="BF5">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5" s="520">
        <f t="array" ref="BG5">INDEX(TBL_002_Dates[Date], MATCH(1, ("SQ"=TBL_002_Dates[Stage])*("Eval_start"=TBL_002_Dates[Activity]),0))</f>
        <v>44313</v>
      </c>
      <c r="BH5" s="520">
        <f t="array" ref="BH5">INDEX(TBL_002_Dates[Date], MATCH(1, ("SQ"=TBL_002_Dates[Stage])*("Eval_end"=TBL_002_Dates[Activity]),0))</f>
        <v>44316</v>
      </c>
      <c r="BI5" s="520">
        <f t="array" ref="BI5">INDEX(TBL_002_Dates[Date], MATCH(1, ("SQ"=TBL_002_Dates[Stage])*("Feedback"=TBL_002_Dates[Activity]),0))</f>
        <v>44321</v>
      </c>
      <c r="BJ5" s="520">
        <f t="array" ref="BJ5">INDEX(TBL_002_Dates[Date], MATCH(1, ("ITT"=TBL_002_Dates[Stage])*("Issue"=TBL_002_Dates[Activity]),0))</f>
        <v>44321</v>
      </c>
      <c r="BK5" s="520">
        <f t="array" ref="BK5">INDEX(TBL_002_Dates[Date], MATCH(1, ("ITT"=TBL_002_Dates[Stage])*("Clarification"=TBL_002_Dates[Activity]),0))</f>
        <v>44328</v>
      </c>
      <c r="BL5" s="520">
        <f t="array" ref="BL5">INDEX(TBL_002_Dates[Date], MATCH(1, ("ITT"=TBL_002_Dates[Stage])*("Return"=TBL_002_Dates[Activity]),0))</f>
        <v>44337</v>
      </c>
      <c r="BM5" s="520" t="str">
        <f t="array" ref="BM5">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5" s="520">
        <f t="array" ref="BN5">INDEX(TBL_002_Dates[Date], MATCH(1, ("ITT"=TBL_002_Dates[Stage])*("Eval_start"=TBL_002_Dates[Activity]),0))</f>
        <v>44340</v>
      </c>
      <c r="BO5" s="520">
        <f t="array" ref="BO5">INDEX(TBL_002_Dates[Date], MATCH(1, ("ITT"=TBL_002_Dates[Stage])*("Eval_end"=TBL_002_Dates[Activity]),0))</f>
        <v>44348</v>
      </c>
      <c r="BP5" s="520">
        <f t="array" ref="BP5">INDEX(TBL_002_Dates[Date], MATCH(1, ("Final"=TBL_002_Dates[Stage])*("Feedback"=TBL_002_Dates[Activity]),0))</f>
        <v>44350</v>
      </c>
      <c r="BQ5" s="520">
        <f t="array" ref="BQ5">INDEX(TBL_002_Dates[Date], MATCH(1, ("Mob"=TBL_002_Dates[Stage])*("Start"=TBL_002_Dates[Activity]),0))</f>
        <v>44351</v>
      </c>
      <c r="BR5"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5" s="520">
        <f t="array" ref="BS5">INDEX(TBL_002_Dates[Date], MATCH(1, ("Commence"=TBL_002_Dates[Stage])*("Commence"=TBL_002_Dates[Activity]),0))</f>
        <v>44378</v>
      </c>
      <c r="BT5" s="521" t="str">
        <f>VLOOKUP(MONTH(TBL_003_DocMerge[[#This Row],[Contract_commences]]), TBL_005_Month[], 2, FALSE)</f>
        <v>July</v>
      </c>
      <c r="BU5" s="522">
        <f>YEAR(TBL_003_DocMerge[[#This Row],[Contract_commences]])</f>
        <v>2021</v>
      </c>
      <c r="BV5" s="519">
        <f t="shared" si="3"/>
        <v>5</v>
      </c>
      <c r="BW5" s="519" t="s">
        <v>762</v>
      </c>
      <c r="BX5" s="519" t="str">
        <f t="shared" si="5"/>
        <v>No</v>
      </c>
      <c r="BY5" s="519" t="str">
        <f t="shared" si="6"/>
        <v>No</v>
      </c>
      <c r="BZ5" s="519">
        <f>'Project Info'!$B$113</f>
        <v>0</v>
      </c>
      <c r="CA5" s="519" t="str">
        <f t="array" ref="CA5">IFERROR(INDEX(TBL_007_LotInfo[Name], MATCH(1, (TBL_007_LotInfo[No]=3)*(TBL_007_LotInfo[Include?]="Yes"),0)), "[Remove]")</f>
        <v>Electrics</v>
      </c>
      <c r="CB5" s="519" t="str">
        <f t="array" ref="CB5">IFERROR(INDEX(TBL_007_LotInfo[Description], MATCH(1, (TBL_007_LotInfo[No]=3)*(TBL_007_LotInfo[Include?]="Yes"),0)), "[Remove]")</f>
        <v/>
      </c>
      <c r="CC5" s="519" t="str">
        <f t="array" ref="CC5">IFERROR(INDEX(TBL_007_LotInfo[Approx?], MATCH(1, (TBL_007_LotInfo[No]=3)*(TBL_007_LotInfo[Include?]="Yes"),0)), "[Remove]")</f>
        <v>approximately</v>
      </c>
      <c r="CD5" s="519">
        <f t="array" ref="CD5">IFERROR(INDEX(TBL_007_LotInfo[Props], MATCH(1, (TBL_007_LotInfo[No]=3)*(TBL_007_LotInfo[Include?]="Yes"),0)), "[Remove]")</f>
        <v>2200</v>
      </c>
      <c r="CE5" s="519" t="str">
        <f t="array" ref="CE5">IFERROR(INDEX(TBL_007_LotInfo[Type_Prop], MATCH(1, (TBL_007_LotInfo[No]=3)*(TBL_007_LotInfo[Include?]="Yes"),0)), "[Remove]")</f>
        <v>properties</v>
      </c>
      <c r="CF5" s="519" t="str">
        <f t="array" ref="CF5">IFERROR(INDEX(TBL_007_LotInfo[Value_type], MATCH(1, (TBL_007_LotInfo[No]=3)*(TBL_007_LotInfo[Include?]="Yes"),0)), "[Remove]")</f>
        <v>Single figure</v>
      </c>
      <c r="CG5" s="519">
        <f t="array" ref="CG5">IFERROR(INDEX(TBL_007_LotInfo[Value_Max], MATCH(1, (TBL_007_LotInfo[No]=3)*(TBL_007_LotInfo[Include?]="Yes"),0)), "[Remove]")</f>
        <v>100000</v>
      </c>
      <c r="CH5" s="519" t="str">
        <f t="array" ref="CH5">IFERROR(INDEX(TBL_007_LotInfo[Value_Min], MATCH(1, (TBL_007_LotInfo[No]=3)*(TBL_007_LotInfo[Include?]="Yes"),0)), "[Remove]")</f>
        <v/>
      </c>
      <c r="CI5" s="519" t="str">
        <f t="array" ref="CI5">IFERROR(IF(INDEX(TBL_007_LotInfo[Cons_Min], MATCH(1, (TBL_007_LotInfo[No]=3)*(TBL_007_LotInfo[Include?]="Yes"),0))&gt;10, INDEX(TBL_007_LotInfo[Cons_Min], MATCH(1, (TBL_007_LotInfo[No]=3)*(TBL_007_LotInfo[Include?]="Yes"),0)), VLOOKUP(INDEX(TBL_007_LotInfo[Cons_Min], MATCH(1, (TBL_007_LotInfo[No]=3)*(TBL_007_LotInfo[Include?]="Yes"),0)), TBL_004_nolookup[], 2, FALSE)), "[Remove]")</f>
        <v>one</v>
      </c>
      <c r="CJ5" s="519" t="str">
        <f t="array" ref="CJ5">IFERROR(IF(INDEX(TBL_007_LotInfo[Cons_Max], MATCH(1, (TBL_007_LotInfo[No]=3)*(TBL_007_LotInfo[Include?]="Yes"),0))&gt;10, INDEX(TBL_007_LotInfo[Cons_Max], MATCH(1, (TBL_007_LotInfo[No]=3)*(TBL_007_LotInfo[Include?]="Yes"),0)), VLOOKUP(INDEX(TBL_007_LotInfo[Cons_Max], MATCH(1, (TBL_007_LotInfo[No]=3)*(TBL_007_LotInfo[Include?]="Yes"),0)), TBL_004_nolookup[], 2, FALSE)), "[Remove]")</f>
        <v>one</v>
      </c>
      <c r="CK5" s="519" t="s">
        <v>24</v>
      </c>
      <c r="CL5" s="519" t="s">
        <v>24</v>
      </c>
      <c r="CM5" s="519" t="s">
        <v>24</v>
      </c>
      <c r="CN5" s="519" t="s">
        <v>24</v>
      </c>
      <c r="CO5" s="519" t="s">
        <v>24</v>
      </c>
      <c r="CP5" s="519" t="s">
        <v>24</v>
      </c>
      <c r="CQ5" s="519" t="s">
        <v>24</v>
      </c>
      <c r="CR5" s="519" t="s">
        <v>24</v>
      </c>
      <c r="CS5" s="519" t="s">
        <v>24</v>
      </c>
      <c r="CT5" s="519" t="s">
        <v>24</v>
      </c>
      <c r="CU5" s="519" t="s">
        <v>24</v>
      </c>
      <c r="CV5" s="519" t="s">
        <v>24</v>
      </c>
      <c r="CW5" s="519" t="s">
        <v>24</v>
      </c>
      <c r="CX5" s="519" t="s">
        <v>24</v>
      </c>
      <c r="CY5" s="519" t="s">
        <v>24</v>
      </c>
      <c r="CZ5" s="519" t="s">
        <v>24</v>
      </c>
      <c r="DA5" s="519" t="s">
        <v>24</v>
      </c>
      <c r="DB5" s="519" t="s">
        <v>24</v>
      </c>
      <c r="DC5" s="519" t="s">
        <v>24</v>
      </c>
      <c r="DD5" s="519" t="s">
        <v>24</v>
      </c>
      <c r="DE5" s="519" t="s">
        <v>24</v>
      </c>
      <c r="DF5" s="519" t="s">
        <v>24</v>
      </c>
      <c r="DG5" s="519" t="s">
        <v>24</v>
      </c>
      <c r="DH5" s="519" t="s">
        <v>24</v>
      </c>
      <c r="DI5" s="519" t="s">
        <v>24</v>
      </c>
      <c r="DJ5" s="519" t="s">
        <v>24</v>
      </c>
      <c r="DK5" s="519" t="s">
        <v>24</v>
      </c>
      <c r="DL5" s="519" t="s">
        <v>24</v>
      </c>
      <c r="DM5" s="519" t="s">
        <v>24</v>
      </c>
      <c r="DN5" s="519" t="s">
        <v>24</v>
      </c>
      <c r="DO5" s="519" t="s">
        <v>24</v>
      </c>
      <c r="DP5" s="519" t="s">
        <v>24</v>
      </c>
      <c r="DQ5" s="519" t="s">
        <v>24</v>
      </c>
      <c r="DR5" s="519" t="s">
        <v>24</v>
      </c>
      <c r="DS5" s="519" t="s">
        <v>24</v>
      </c>
      <c r="DT5" s="519" t="s">
        <v>24</v>
      </c>
      <c r="DU5" s="519" t="s">
        <v>24</v>
      </c>
      <c r="DV5" s="519" t="s">
        <v>24</v>
      </c>
      <c r="DW5" s="519" t="s">
        <v>24</v>
      </c>
      <c r="DX5" s="519" t="s">
        <v>24</v>
      </c>
      <c r="DY5" s="519" t="s">
        <v>24</v>
      </c>
      <c r="DZ5" s="519" t="s">
        <v>24</v>
      </c>
      <c r="EA5" s="519" t="s">
        <v>24</v>
      </c>
      <c r="EB5" s="519" t="s">
        <v>24</v>
      </c>
      <c r="EC5" s="519" t="s">
        <v>24</v>
      </c>
      <c r="ED5" s="519" t="s">
        <v>24</v>
      </c>
      <c r="EE5" s="519" t="s">
        <v>24</v>
      </c>
      <c r="EF5" s="519" t="s">
        <v>24</v>
      </c>
      <c r="EG5" s="519" t="s">
        <v>24</v>
      </c>
      <c r="EH5" s="519" t="s">
        <v>24</v>
      </c>
      <c r="EI5" s="519" t="str">
        <f>'Project Info'!$B$27</f>
        <v>No</v>
      </c>
      <c r="EJ5" s="519" t="str">
        <f>IF(TBL_003_DocMerge[[#This Row],[Limit_Award?]]="Yes", IF('Project Info'!$B$28&lt;=10, VLOOKUP('Project Info'!$B$28, TBL_004_nolookup[], 2, FALSE), 'Project Info'!$B$28), "N/A")</f>
        <v>N/A</v>
      </c>
      <c r="EK5" s="519" t="str">
        <f>'Project Info'!$B$20</f>
        <v>SQ</v>
      </c>
      <c r="EL5" s="519" t="str">
        <f>IF(TBL_003_DocMerge[[#This Row],[Tender_Stage]]="SQ", "Candidate", "Tenderer")</f>
        <v>Candidate</v>
      </c>
      <c r="EM5" s="523" t="str">
        <f>IF(OR('Project Info'!$B$18="Open Procedure", 'Project Info'!$B$20="SQ", ), IF('Project Info'!$B$17="SQ", IF('Part 1_Supplier Info'!$C$9&lt;&gt;"", 'Part 1_Supplier Info'!$C$9, ""), IF('Project Info'!$B$17="PAS", IF(#REF!&lt;&gt;"",#REF!, ""),  IF(#REF!&lt;&gt;"",#REF!, ""))), IF(#REF!&lt;&gt;"",#REF!, ""))</f>
        <v/>
      </c>
    </row>
    <row r="6" spans="1:143" ht="28" hidden="1">
      <c r="A6" s="519" t="s">
        <v>808</v>
      </c>
      <c r="B6" s="524" t="s">
        <v>792</v>
      </c>
      <c r="C6" s="513" t="str">
        <f>'Project Info'!$B$3</f>
        <v>T1-5622</v>
      </c>
      <c r="D6" s="470" t="str">
        <f>'Project Info'!$B$7</f>
        <v>Islington and Shoreditch Housing Association</v>
      </c>
      <c r="E6" s="470" t="str">
        <f>'Project Info'!$B$8</f>
        <v>ISHA</v>
      </c>
      <c r="F6" s="470" t="str">
        <f>CONCATENATE('Project Info'!$B$9, " for ", TBL_003_DocMerge[[#This Row],[Lot_Ref]], " (", TBL_003_DocMerge[[#This Row],[Lot_1_Name]], ")")</f>
        <v>Dynamic Purchasing System - Responsive Repairs and Voids for Lot 4 (Drainage)</v>
      </c>
      <c r="G6" s="470" t="str">
        <f>'Project Info'!$B$10</f>
        <v>reactive maintenance services</v>
      </c>
      <c r="H6" s="470" t="str">
        <f>'Project Info'!$B$11</f>
        <v xml:space="preserve">102 Blackstock Road, London N4 2DR </v>
      </c>
      <c r="I6" s="470" t="str">
        <f>'Project Info'!$B$12</f>
        <v>North and East London</v>
      </c>
      <c r="J6" s="470" t="str">
        <f>'Project Info'!$B$4</f>
        <v>Emma Pell</v>
      </c>
      <c r="K6" s="470" t="str">
        <f>'Project Info'!$C$4</f>
        <v>EP</v>
      </c>
      <c r="L6" s="470" t="str">
        <f>'Project Info'!$B$5</f>
        <v>Jennifer Hopkins</v>
      </c>
      <c r="M6" s="470" t="str">
        <f>IF('Project Info'!$B$6&lt;&gt;"", VLOOKUP('Project Info'!$B$6, TBL_033_Offices[], 2, FALSE), "To be added")</f>
        <v>Central Court, Knoll Rise, Orpington, BR6 0JA</v>
      </c>
      <c r="N6" s="470" t="str">
        <f>IF('Project Info'!$B$6&lt;&gt;"", VLOOKUP('Project Info'!$B$6, TBL_033_Offices[], 3, FALSE), "To be added")</f>
        <v>01689 885 080</v>
      </c>
      <c r="O6"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44280</v>
      </c>
      <c r="P6" s="470" t="str">
        <f>IF('Project Info'!$B$18&lt;&gt;"", 'Project Info'!$B$18, "")</f>
        <v>Restricted Procedure</v>
      </c>
      <c r="Q6" s="470" t="str">
        <f>IF(OR('Project Info'!$B$15=Lookups!$F$7, 'Project Info'!$B$15=Lookups!$F$8), "Below", IF('Project Info'!$B$14="works", IF('Project Info'!$B$15=Lookups!$F$10, "Above", "Below"), IF('Project Info'!$B$15=Lookups!$G$9, "Above", "Below")))</f>
        <v>Above</v>
      </c>
      <c r="R6" s="470" t="str">
        <f>IF('Project Info'!$B$18="Open Procedure", "Request to Participate and Tender", IF('Project Info'!$B$20="SQ", "Request to Participate", IF('Project Info'!$B$20="Tender", 'Project Info'!$B$20, CONCATENATE('Project Info'!$B$20, " Tender"))))</f>
        <v>Request to Participate</v>
      </c>
      <c r="S6" s="470" t="str">
        <f>IF('Project Info'!$B$18="Open Procedure", CONCATENATE('Project Info'!$B$17," and Tender"), IF('Project Info'!$B$20="SQ", 'Project Info'!$B$17, IF(OR('Project Info'!$B$20="Initial",'Project Info'!$B$20="Final"),CONCATENATE('Project Info'!$B$20," tender"), "Tender")))</f>
        <v>SQ</v>
      </c>
      <c r="T6" s="470" t="str">
        <f>IF('Project Info'!$B$17&lt;&gt;"", 'Project Info'!$B$17, "")</f>
        <v>SQ</v>
      </c>
      <c r="U6" s="470" t="str">
        <f>'Project Info'!$B$14</f>
        <v>services</v>
      </c>
      <c r="V6" s="470" t="str">
        <f>'Project Info'!$B$13</f>
        <v>contract</v>
      </c>
      <c r="W6" s="470">
        <f>'Project Info'!$B$49</f>
        <v>0</v>
      </c>
      <c r="X6" s="470" t="str">
        <f>'Project Info'!$B$23</f>
        <v>Yes</v>
      </c>
      <c r="Y6" s="470">
        <f>IF('Project Info'!$B$24="N/A", "N/A", 'Project Info'!$B$24)</f>
        <v>6</v>
      </c>
      <c r="Z6" s="470" t="str">
        <f>IF(Lotted?="Yes", IF('Project Info'!$B$24="N/A", "N/A", IF('Project Info'!$B$24&gt;=11, CONCATENATE('Project Info'!$B$24, " lots"), CONCATENATE(VLOOKUP('Project Info'!$B$24, TBL_004_nolookup[], 2, FALSE), " lots"))), "N/A")</f>
        <v>six lots</v>
      </c>
      <c r="AA6" s="470" t="e">
        <f>IF('Project Info'!$B$31&gt;=11, 'Project Info'!$B$31, VLOOKUP('Project Info'!$B$31, TBL_004_nolookup[], 2, FALSE))</f>
        <v>#N/A</v>
      </c>
      <c r="AB6" s="470">
        <f>IF('Project Info'!$B$49="Other (please provide info)", 'Project Info'!$C$50, 'Project Info'!$B$50)</f>
        <v>0</v>
      </c>
      <c r="AC6" s="470">
        <f>IF('Project Info'!$B$49="Partnering", IF('Project Info'!$B$50="ACA Standard Form of Contract for Term Partnering (TPC 2005 – Amended 2008) published by The Association of Consultant Architects Ltd.  (ACA)", "TPC", "TAC"), 'Project Info'!$B$49)</f>
        <v>0</v>
      </c>
      <c r="AD6" s="470" t="str">
        <f>'Project Info'!$C$51</f>
        <v>consultant(s)</v>
      </c>
      <c r="AE6" s="470" t="str">
        <f>'Project Info'!$B$52</f>
        <v>Contract Administrator</v>
      </c>
      <c r="AF6" s="470" t="str">
        <f>'Project Info'!$C$52</f>
        <v>CA</v>
      </c>
      <c r="AG6" s="470" t="str">
        <f>IF('Project Info'!$B$49="Partnering", "Price Framework", "Tender Book")</f>
        <v>Tender Book</v>
      </c>
      <c r="AH6" s="470">
        <f>'Project Info'!$B$53</f>
        <v>0</v>
      </c>
      <c r="AI6"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6"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6"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6" s="470">
        <f>'Project Info'!$B$56</f>
        <v>0</v>
      </c>
      <c r="AM6" s="470" t="str">
        <f>IF(TBL_003_DocMerge[[#This Row],[annually_renewable]]="Yes - extensions on an annually renewable basis", "on an annually renewable basis",'Project Info'!$C$56)</f>
        <v/>
      </c>
      <c r="AN6" s="470" t="str">
        <f>'Project Info'!$B$65</f>
        <v>approximately</v>
      </c>
      <c r="AO6" s="470">
        <f>'Project Info'!$B$64</f>
        <v>2200</v>
      </c>
      <c r="AP6" s="470" t="str">
        <f>'Project Info'!$B$66</f>
        <v>No</v>
      </c>
      <c r="AQ6" s="470">
        <f>'Project Info'!$B$102</f>
        <v>0</v>
      </c>
      <c r="AR6" s="470">
        <f>'Project Info'!$B$103</f>
        <v>0</v>
      </c>
      <c r="AS6" s="470" t="str">
        <f t="shared" si="0"/>
        <v>Not applicable</v>
      </c>
      <c r="AT6" s="470">
        <f t="shared" si="1"/>
        <v>0</v>
      </c>
      <c r="AU6" s="470" t="str">
        <f>'Project Info'!$B$61</f>
        <v/>
      </c>
      <c r="AV6" s="525">
        <f>'Project Info'!$B$68</f>
        <v>10000000</v>
      </c>
      <c r="AW6" s="525">
        <f>'Project Info'!$B$69</f>
        <v>10000000</v>
      </c>
      <c r="AX6" s="525">
        <f>'Project Info'!$B$70</f>
        <v>200000</v>
      </c>
      <c r="AY6" s="525">
        <f>'Project Info'!$B$71</f>
        <v>0</v>
      </c>
      <c r="AZ6" s="526" t="str">
        <f t="shared" si="2"/>
        <v>No</v>
      </c>
      <c r="BA6" s="527" t="str">
        <f>IF('Project Info'!$B$16&lt;&gt;"", IF(OR('Project Info'!$B$16="Yes-Above", 'Project Info'!$B$16="Yes-Below (works only)"), "Yes", "No"), "")</f>
        <v>No</v>
      </c>
      <c r="BB6" s="519" t="str">
        <f>IF('Project Info'!$C$19&lt;&gt;"", 'Project Info'!$C$19, 'Project Info'!$B$19)</f>
        <v>myTenders</v>
      </c>
      <c r="BC6" s="520">
        <f t="array" ref="BC6">INDEX(TBL_002_Dates[Date], MATCH(1, ("SQ"=TBL_002_Dates[Stage])*("Issue"=TBL_002_Dates[Activity]),0))</f>
        <v>44280</v>
      </c>
      <c r="BD6" s="520">
        <f t="array" ref="BD6">INDEX(TBL_002_Dates[Date], MATCH(1, ("SQ"=TBL_002_Dates[Stage])*("Clarification"=TBL_002_Dates[Activity]),0))</f>
        <v>44302</v>
      </c>
      <c r="BE6" s="520">
        <f t="array" ref="BE6">INDEX(TBL_002_Dates[Date], MATCH(1, ("SQ"=TBL_002_Dates[Stage])*("Return"=TBL_002_Dates[Activity]),0))</f>
        <v>44312</v>
      </c>
      <c r="BF6" s="520" t="str">
        <f t="array" ref="BF6">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6" s="520">
        <f t="array" ref="BG6">INDEX(TBL_002_Dates[Date], MATCH(1, ("SQ"=TBL_002_Dates[Stage])*("Eval_start"=TBL_002_Dates[Activity]),0))</f>
        <v>44313</v>
      </c>
      <c r="BH6" s="520">
        <f t="array" ref="BH6">INDEX(TBL_002_Dates[Date], MATCH(1, ("SQ"=TBL_002_Dates[Stage])*("Eval_end"=TBL_002_Dates[Activity]),0))</f>
        <v>44316</v>
      </c>
      <c r="BI6" s="520">
        <f t="array" ref="BI6">INDEX(TBL_002_Dates[Date], MATCH(1, ("SQ"=TBL_002_Dates[Stage])*("Feedback"=TBL_002_Dates[Activity]),0))</f>
        <v>44321</v>
      </c>
      <c r="BJ6" s="520">
        <f t="array" ref="BJ6">INDEX(TBL_002_Dates[Date], MATCH(1, ("ITT"=TBL_002_Dates[Stage])*("Issue"=TBL_002_Dates[Activity]),0))</f>
        <v>44321</v>
      </c>
      <c r="BK6" s="520">
        <f t="array" ref="BK6">INDEX(TBL_002_Dates[Date], MATCH(1, ("ITT"=TBL_002_Dates[Stage])*("Clarification"=TBL_002_Dates[Activity]),0))</f>
        <v>44328</v>
      </c>
      <c r="BL6" s="520">
        <f t="array" ref="BL6">INDEX(TBL_002_Dates[Date], MATCH(1, ("ITT"=TBL_002_Dates[Stage])*("Return"=TBL_002_Dates[Activity]),0))</f>
        <v>44337</v>
      </c>
      <c r="BM6" s="520" t="str">
        <f t="array" ref="BM6">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6" s="520">
        <f t="array" ref="BN6">INDEX(TBL_002_Dates[Date], MATCH(1, ("ITT"=TBL_002_Dates[Stage])*("Eval_start"=TBL_002_Dates[Activity]),0))</f>
        <v>44340</v>
      </c>
      <c r="BO6" s="520">
        <f t="array" ref="BO6">INDEX(TBL_002_Dates[Date], MATCH(1, ("ITT"=TBL_002_Dates[Stage])*("Eval_end"=TBL_002_Dates[Activity]),0))</f>
        <v>44348</v>
      </c>
      <c r="BP6" s="520">
        <f t="array" ref="BP6">INDEX(TBL_002_Dates[Date], MATCH(1, ("Final"=TBL_002_Dates[Stage])*("Feedback"=TBL_002_Dates[Activity]),0))</f>
        <v>44350</v>
      </c>
      <c r="BQ6" s="520">
        <f t="array" ref="BQ6">INDEX(TBL_002_Dates[Date], MATCH(1, ("Mob"=TBL_002_Dates[Stage])*("Start"=TBL_002_Dates[Activity]),0))</f>
        <v>44351</v>
      </c>
      <c r="BR6"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6" s="520">
        <f t="array" ref="BS6">INDEX(TBL_002_Dates[Date], MATCH(1, ("Commence"=TBL_002_Dates[Stage])*("Commence"=TBL_002_Dates[Activity]),0))</f>
        <v>44378</v>
      </c>
      <c r="BT6" s="521" t="str">
        <f>VLOOKUP(MONTH(TBL_003_DocMerge[[#This Row],[Contract_commences]]), TBL_005_Month[], 2, FALSE)</f>
        <v>July</v>
      </c>
      <c r="BU6" s="522">
        <f>YEAR(TBL_003_DocMerge[[#This Row],[Contract_commences]])</f>
        <v>2021</v>
      </c>
      <c r="BV6" s="519">
        <f t="shared" si="3"/>
        <v>5</v>
      </c>
      <c r="BW6" s="519" t="s">
        <v>762</v>
      </c>
      <c r="BX6" s="519" t="str">
        <f t="shared" si="5"/>
        <v>No</v>
      </c>
      <c r="BY6" s="519" t="str">
        <f t="shared" si="6"/>
        <v>No</v>
      </c>
      <c r="BZ6" s="519">
        <f>'Project Info'!$B$113</f>
        <v>0</v>
      </c>
      <c r="CA6" s="519" t="str">
        <f t="array" ref="CA6">IFERROR(INDEX(TBL_007_LotInfo[Name], MATCH(1, (TBL_007_LotInfo[No]=4)*(TBL_007_LotInfo[Include?]="Yes"),0)), "[Remove]")</f>
        <v>Drainage</v>
      </c>
      <c r="CB6" s="519" t="str">
        <f t="array" ref="CB6">IFERROR(INDEX(TBL_007_LotInfo[Description], MATCH(1, (TBL_007_LotInfo[No]=4)*(TBL_007_LotInfo[Include?]="Yes"),0)), "[Remove]")</f>
        <v/>
      </c>
      <c r="CC6" s="519" t="str">
        <f t="array" ref="CC6">IFERROR(INDEX(TBL_007_LotInfo[Approx?], MATCH(1, (TBL_007_LotInfo[No]=4)*(TBL_007_LotInfo[Include?]="Yes"),0)), "[Remove]")</f>
        <v>approximately</v>
      </c>
      <c r="CD6" s="519">
        <f t="array" ref="CD6">IFERROR(INDEX(TBL_007_LotInfo[Props], MATCH(1, (TBL_007_LotInfo[No]=4)*(TBL_007_LotInfo[Include?]="Yes"),0)), "[Remove]")</f>
        <v>2200</v>
      </c>
      <c r="CE6" s="519" t="str">
        <f t="array" ref="CE6">IFERROR(INDEX(TBL_007_LotInfo[Type_Prop], MATCH(1, (TBL_007_LotInfo[No]=4)*(TBL_007_LotInfo[Include?]="Yes"),0)), "[Remove]")</f>
        <v>properties</v>
      </c>
      <c r="CF6" s="519" t="str">
        <f t="array" ref="CF6">IFERROR(INDEX(TBL_007_LotInfo[Value_type], MATCH(1, (TBL_007_LotInfo[No]=4)*(TBL_007_LotInfo[Include?]="Yes"),0)), "[Remove]")</f>
        <v>Single figure</v>
      </c>
      <c r="CG6" s="519">
        <f t="array" ref="CG6">IFERROR(INDEX(TBL_007_LotInfo[Value_Max], MATCH(1, (TBL_007_LotInfo[No]=4)*(TBL_007_LotInfo[Include?]="Yes"),0)), "[Remove]")</f>
        <v>30000</v>
      </c>
      <c r="CH6" s="519" t="str">
        <f t="array" ref="CH6">IFERROR(INDEX(TBL_007_LotInfo[Value_Min], MATCH(1, (TBL_007_LotInfo[No]=4)*(TBL_007_LotInfo[Include?]="Yes"),0)), "[Remove]")</f>
        <v/>
      </c>
      <c r="CI6" s="519" t="str">
        <f t="array" ref="CI6">IFERROR(IF(INDEX(TBL_007_LotInfo[Cons_Min], MATCH(1, (TBL_007_LotInfo[No]=4)*(TBL_007_LotInfo[Include?]="Yes"),0))&gt;10, INDEX(TBL_007_LotInfo[Cons_Min], MATCH(1, (TBL_007_LotInfo[No]=4)*(TBL_007_LotInfo[Include?]="Yes"),0)), VLOOKUP(INDEX(TBL_007_LotInfo[Cons_Min], MATCH(1, (TBL_007_LotInfo[No]=4)*(TBL_007_LotInfo[Include?]="Yes"),0)), TBL_004_nolookup[], 2, FALSE)), "[Remove]")</f>
        <v>one</v>
      </c>
      <c r="CJ6" s="519" t="str">
        <f t="array" ref="CJ6">IFERROR(IF(INDEX(TBL_007_LotInfo[Cons_Max], MATCH(1, (TBL_007_LotInfo[No]=4)*(TBL_007_LotInfo[Include?]="Yes"),0))&gt;10, INDEX(TBL_007_LotInfo[Cons_Max], MATCH(1, (TBL_007_LotInfo[No]=4)*(TBL_007_LotInfo[Include?]="Yes"),0)), VLOOKUP(INDEX(TBL_007_LotInfo[Cons_Max], MATCH(1, (TBL_007_LotInfo[No]=4)*(TBL_007_LotInfo[Include?]="Yes"),0)), TBL_004_nolookup[], 2, FALSE)), "[Remove]")</f>
        <v>one</v>
      </c>
      <c r="CK6" s="519" t="s">
        <v>24</v>
      </c>
      <c r="CL6" s="519" t="s">
        <v>24</v>
      </c>
      <c r="CM6" s="519" t="s">
        <v>24</v>
      </c>
      <c r="CN6" s="519" t="s">
        <v>24</v>
      </c>
      <c r="CO6" s="519" t="s">
        <v>24</v>
      </c>
      <c r="CP6" s="519" t="s">
        <v>24</v>
      </c>
      <c r="CQ6" s="519" t="s">
        <v>24</v>
      </c>
      <c r="CR6" s="519" t="s">
        <v>24</v>
      </c>
      <c r="CS6" s="519" t="s">
        <v>24</v>
      </c>
      <c r="CT6" s="519" t="s">
        <v>24</v>
      </c>
      <c r="CU6" s="519" t="s">
        <v>24</v>
      </c>
      <c r="CV6" s="519" t="s">
        <v>24</v>
      </c>
      <c r="CW6" s="519" t="s">
        <v>24</v>
      </c>
      <c r="CX6" s="519" t="s">
        <v>24</v>
      </c>
      <c r="CY6" s="519" t="s">
        <v>24</v>
      </c>
      <c r="CZ6" s="519" t="s">
        <v>24</v>
      </c>
      <c r="DA6" s="519" t="s">
        <v>24</v>
      </c>
      <c r="DB6" s="519" t="s">
        <v>24</v>
      </c>
      <c r="DC6" s="519" t="s">
        <v>24</v>
      </c>
      <c r="DD6" s="519" t="s">
        <v>24</v>
      </c>
      <c r="DE6" s="519" t="s">
        <v>24</v>
      </c>
      <c r="DF6" s="519" t="s">
        <v>24</v>
      </c>
      <c r="DG6" s="519" t="s">
        <v>24</v>
      </c>
      <c r="DH6" s="519" t="s">
        <v>24</v>
      </c>
      <c r="DI6" s="519" t="s">
        <v>24</v>
      </c>
      <c r="DJ6" s="519" t="s">
        <v>24</v>
      </c>
      <c r="DK6" s="519" t="s">
        <v>24</v>
      </c>
      <c r="DL6" s="519" t="s">
        <v>24</v>
      </c>
      <c r="DM6" s="519" t="s">
        <v>24</v>
      </c>
      <c r="DN6" s="519" t="s">
        <v>24</v>
      </c>
      <c r="DO6" s="519" t="s">
        <v>24</v>
      </c>
      <c r="DP6" s="519" t="s">
        <v>24</v>
      </c>
      <c r="DQ6" s="519" t="s">
        <v>24</v>
      </c>
      <c r="DR6" s="519" t="s">
        <v>24</v>
      </c>
      <c r="DS6" s="519" t="s">
        <v>24</v>
      </c>
      <c r="DT6" s="519" t="s">
        <v>24</v>
      </c>
      <c r="DU6" s="519" t="s">
        <v>24</v>
      </c>
      <c r="DV6" s="519" t="s">
        <v>24</v>
      </c>
      <c r="DW6" s="519" t="s">
        <v>24</v>
      </c>
      <c r="DX6" s="519" t="s">
        <v>24</v>
      </c>
      <c r="DY6" s="519" t="s">
        <v>24</v>
      </c>
      <c r="DZ6" s="519" t="s">
        <v>24</v>
      </c>
      <c r="EA6" s="519" t="s">
        <v>24</v>
      </c>
      <c r="EB6" s="519" t="s">
        <v>24</v>
      </c>
      <c r="EC6" s="519" t="s">
        <v>24</v>
      </c>
      <c r="ED6" s="519" t="s">
        <v>24</v>
      </c>
      <c r="EE6" s="519" t="s">
        <v>24</v>
      </c>
      <c r="EF6" s="519" t="s">
        <v>24</v>
      </c>
      <c r="EG6" s="519" t="s">
        <v>24</v>
      </c>
      <c r="EH6" s="519" t="s">
        <v>24</v>
      </c>
      <c r="EI6" s="519" t="str">
        <f>'Project Info'!$B$27</f>
        <v>No</v>
      </c>
      <c r="EJ6" s="519" t="str">
        <f>IF(TBL_003_DocMerge[[#This Row],[Limit_Award?]]="Yes", IF('Project Info'!$B$28&lt;=10, VLOOKUP('Project Info'!$B$28, TBL_004_nolookup[], 2, FALSE), 'Project Info'!$B$28), "N/A")</f>
        <v>N/A</v>
      </c>
      <c r="EK6" s="519" t="str">
        <f>'Project Info'!$B$20</f>
        <v>SQ</v>
      </c>
      <c r="EL6" s="519" t="str">
        <f>IF(TBL_003_DocMerge[[#This Row],[Tender_Stage]]="SQ", "Candidate", "Tenderer")</f>
        <v>Candidate</v>
      </c>
      <c r="EM6" s="523" t="str">
        <f>IF(OR('Project Info'!$B$18="Open Procedure", 'Project Info'!$B$20="SQ", ), IF('Project Info'!$B$17="SQ", IF('Part 1_Supplier Info'!$C$9&lt;&gt;"", 'Part 1_Supplier Info'!$C$9, ""), IF('Project Info'!$B$17="PAS", IF(#REF!&lt;&gt;"",#REF!, ""),  IF(#REF!&lt;&gt;"",#REF!, ""))), IF(#REF!&lt;&gt;"",#REF!, ""))</f>
        <v/>
      </c>
    </row>
    <row r="7" spans="1:143" ht="28" hidden="1">
      <c r="A7" s="519" t="s">
        <v>807</v>
      </c>
      <c r="B7" s="524" t="s">
        <v>793</v>
      </c>
      <c r="C7" s="513" t="str">
        <f>'Project Info'!$B$3</f>
        <v>T1-5622</v>
      </c>
      <c r="D7" s="470" t="str">
        <f>'Project Info'!$B$7</f>
        <v>Islington and Shoreditch Housing Association</v>
      </c>
      <c r="E7" s="470" t="str">
        <f>'Project Info'!$B$8</f>
        <v>ISHA</v>
      </c>
      <c r="F7" s="470" t="str">
        <f>CONCATENATE('Project Info'!$B$9, " for ", TBL_003_DocMerge[[#This Row],[Lot_Ref]], " (", TBL_003_DocMerge[[#This Row],[Lot_1_Name]], ")")</f>
        <v>Dynamic Purchasing System - Responsive Repairs and Voids for Lot 5 (Roofing)</v>
      </c>
      <c r="G7" s="470" t="str">
        <f>'Project Info'!$B$10</f>
        <v>reactive maintenance services</v>
      </c>
      <c r="H7" s="470" t="str">
        <f>'Project Info'!$B$11</f>
        <v xml:space="preserve">102 Blackstock Road, London N4 2DR </v>
      </c>
      <c r="I7" s="470" t="str">
        <f>'Project Info'!$B$12</f>
        <v>North and East London</v>
      </c>
      <c r="J7" s="470" t="str">
        <f>'Project Info'!$B$4</f>
        <v>Emma Pell</v>
      </c>
      <c r="K7" s="470" t="str">
        <f>'Project Info'!$C$4</f>
        <v>EP</v>
      </c>
      <c r="L7" s="470" t="str">
        <f>'Project Info'!$B$5</f>
        <v>Jennifer Hopkins</v>
      </c>
      <c r="M7" s="470" t="str">
        <f>IF('Project Info'!$B$6&lt;&gt;"", VLOOKUP('Project Info'!$B$6, TBL_033_Offices[], 2, FALSE), "To be added")</f>
        <v>Central Court, Knoll Rise, Orpington, BR6 0JA</v>
      </c>
      <c r="N7" s="470" t="str">
        <f>IF('Project Info'!$B$6&lt;&gt;"", VLOOKUP('Project Info'!$B$6, TBL_033_Offices[], 3, FALSE), "To be added")</f>
        <v>01689 885 080</v>
      </c>
      <c r="O7"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44280</v>
      </c>
      <c r="P7" s="470" t="str">
        <f>IF('Project Info'!$B$18&lt;&gt;"", 'Project Info'!$B$18, "")</f>
        <v>Restricted Procedure</v>
      </c>
      <c r="Q7" s="470" t="str">
        <f>IF(OR('Project Info'!$B$15=Lookups!$F$7, 'Project Info'!$B$15=Lookups!$F$8), "Below", IF('Project Info'!$B$14="works", IF('Project Info'!$B$15=Lookups!$F$10, "Above", "Below"), IF('Project Info'!$B$15=Lookups!$G$9, "Above", "Below")))</f>
        <v>Above</v>
      </c>
      <c r="R7" s="470" t="str">
        <f>IF('Project Info'!$B$18="Open Procedure", "Request to Participate and Tender", IF('Project Info'!$B$20="SQ", "Request to Participate", IF('Project Info'!$B$20="Tender", 'Project Info'!$B$20, CONCATENATE('Project Info'!$B$20, " Tender"))))</f>
        <v>Request to Participate</v>
      </c>
      <c r="S7" s="470" t="str">
        <f>IF('Project Info'!$B$18="Open Procedure", CONCATENATE('Project Info'!$B$17," and Tender"), IF('Project Info'!$B$20="SQ", 'Project Info'!$B$17, IF(OR('Project Info'!$B$20="Initial",'Project Info'!$B$20="Final"),CONCATENATE('Project Info'!$B$20," tender"), "Tender")))</f>
        <v>SQ</v>
      </c>
      <c r="T7" s="470" t="str">
        <f>IF('Project Info'!$B$17&lt;&gt;"", 'Project Info'!$B$17, "")</f>
        <v>SQ</v>
      </c>
      <c r="U7" s="470" t="str">
        <f>'Project Info'!$B$14</f>
        <v>services</v>
      </c>
      <c r="V7" s="470" t="str">
        <f>'Project Info'!$B$13</f>
        <v>contract</v>
      </c>
      <c r="W7" s="470">
        <f>'Project Info'!$B$49</f>
        <v>0</v>
      </c>
      <c r="X7" s="470" t="str">
        <f>'Project Info'!$B$23</f>
        <v>Yes</v>
      </c>
      <c r="Y7" s="470">
        <f>IF('Project Info'!$B$24="N/A", "N/A", 'Project Info'!$B$24)</f>
        <v>6</v>
      </c>
      <c r="Z7" s="470" t="str">
        <f>IF(Lotted?="Yes", IF('Project Info'!$B$24="N/A", "N/A", IF('Project Info'!$B$24&gt;=11, CONCATENATE('Project Info'!$B$24, " lots"), CONCATENATE(VLOOKUP('Project Info'!$B$24, TBL_004_nolookup[], 2, FALSE), " lots"))), "N/A")</f>
        <v>six lots</v>
      </c>
      <c r="AA7" s="470" t="e">
        <f>IF('Project Info'!$B$31&gt;=11, 'Project Info'!$B$31, VLOOKUP('Project Info'!$B$31, TBL_004_nolookup[], 2, FALSE))</f>
        <v>#N/A</v>
      </c>
      <c r="AB7" s="470">
        <f>IF('Project Info'!$B$49="Other (please provide info)", 'Project Info'!$C$50, 'Project Info'!$B$50)</f>
        <v>0</v>
      </c>
      <c r="AC7" s="470">
        <f>IF('Project Info'!$B$49="Partnering", IF('Project Info'!$B$50="ACA Standard Form of Contract for Term Partnering (TPC 2005 – Amended 2008) published by The Association of Consultant Architects Ltd.  (ACA)", "TPC", "TAC"), 'Project Info'!$B$49)</f>
        <v>0</v>
      </c>
      <c r="AD7" s="470" t="str">
        <f>'Project Info'!$C$51</f>
        <v>consultant(s)</v>
      </c>
      <c r="AE7" s="470" t="str">
        <f>'Project Info'!$B$52</f>
        <v>Contract Administrator</v>
      </c>
      <c r="AF7" s="470" t="str">
        <f>'Project Info'!$C$52</f>
        <v>CA</v>
      </c>
      <c r="AG7" s="470" t="str">
        <f>IF('Project Info'!$B$49="Partnering", "Price Framework", "Tender Book")</f>
        <v>Tender Book</v>
      </c>
      <c r="AH7" s="470">
        <f>'Project Info'!$B$53</f>
        <v>0</v>
      </c>
      <c r="AI7"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7"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7"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7" s="470">
        <f>'Project Info'!$B$56</f>
        <v>0</v>
      </c>
      <c r="AM7" s="470" t="str">
        <f>IF(TBL_003_DocMerge[[#This Row],[annually_renewable]]="Yes - extensions on an annually renewable basis", "on an annually renewable basis",'Project Info'!$C$56)</f>
        <v/>
      </c>
      <c r="AN7" s="470" t="str">
        <f>'Project Info'!$B$65</f>
        <v>approximately</v>
      </c>
      <c r="AO7" s="470">
        <f>'Project Info'!$B$64</f>
        <v>2200</v>
      </c>
      <c r="AP7" s="470" t="str">
        <f>'Project Info'!$B$66</f>
        <v>No</v>
      </c>
      <c r="AQ7" s="470">
        <f>'Project Info'!$B$102</f>
        <v>0</v>
      </c>
      <c r="AR7" s="470">
        <f>'Project Info'!$B$103</f>
        <v>0</v>
      </c>
      <c r="AS7" s="470" t="str">
        <f t="shared" si="0"/>
        <v>Not applicable</v>
      </c>
      <c r="AT7" s="470">
        <f t="shared" si="1"/>
        <v>0</v>
      </c>
      <c r="AU7" s="470" t="str">
        <f>'Project Info'!$B$61</f>
        <v/>
      </c>
      <c r="AV7" s="525">
        <f>'Project Info'!$B$68</f>
        <v>10000000</v>
      </c>
      <c r="AW7" s="525">
        <f>'Project Info'!$B$69</f>
        <v>10000000</v>
      </c>
      <c r="AX7" s="525">
        <f>'Project Info'!$B$70</f>
        <v>200000</v>
      </c>
      <c r="AY7" s="525">
        <f>'Project Info'!$B$71</f>
        <v>0</v>
      </c>
      <c r="AZ7" s="526" t="str">
        <f t="shared" si="2"/>
        <v>No</v>
      </c>
      <c r="BA7" s="527" t="str">
        <f>IF('Project Info'!$B$16&lt;&gt;"", IF(OR('Project Info'!$B$16="Yes-Above", 'Project Info'!$B$16="Yes-Below (works only)"), "Yes", "No"), "")</f>
        <v>No</v>
      </c>
      <c r="BB7" s="519" t="str">
        <f>IF('Project Info'!$C$19&lt;&gt;"", 'Project Info'!$C$19, 'Project Info'!$B$19)</f>
        <v>myTenders</v>
      </c>
      <c r="BC7" s="520">
        <f t="array" ref="BC7">INDEX(TBL_002_Dates[Date], MATCH(1, ("SQ"=TBL_002_Dates[Stage])*("Issue"=TBL_002_Dates[Activity]),0))</f>
        <v>44280</v>
      </c>
      <c r="BD7" s="520">
        <f t="array" ref="BD7">INDEX(TBL_002_Dates[Date], MATCH(1, ("SQ"=TBL_002_Dates[Stage])*("Clarification"=TBL_002_Dates[Activity]),0))</f>
        <v>44302</v>
      </c>
      <c r="BE7" s="520">
        <f t="array" ref="BE7">INDEX(TBL_002_Dates[Date], MATCH(1, ("SQ"=TBL_002_Dates[Stage])*("Return"=TBL_002_Dates[Activity]),0))</f>
        <v>44312</v>
      </c>
      <c r="BF7" s="520" t="str">
        <f t="array" ref="BF7">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7" s="520">
        <f t="array" ref="BG7">INDEX(TBL_002_Dates[Date], MATCH(1, ("SQ"=TBL_002_Dates[Stage])*("Eval_start"=TBL_002_Dates[Activity]),0))</f>
        <v>44313</v>
      </c>
      <c r="BH7" s="520">
        <f t="array" ref="BH7">INDEX(TBL_002_Dates[Date], MATCH(1, ("SQ"=TBL_002_Dates[Stage])*("Eval_end"=TBL_002_Dates[Activity]),0))</f>
        <v>44316</v>
      </c>
      <c r="BI7" s="520">
        <f t="array" ref="BI7">INDEX(TBL_002_Dates[Date], MATCH(1, ("SQ"=TBL_002_Dates[Stage])*("Feedback"=TBL_002_Dates[Activity]),0))</f>
        <v>44321</v>
      </c>
      <c r="BJ7" s="520">
        <f t="array" ref="BJ7">INDEX(TBL_002_Dates[Date], MATCH(1, ("ITT"=TBL_002_Dates[Stage])*("Issue"=TBL_002_Dates[Activity]),0))</f>
        <v>44321</v>
      </c>
      <c r="BK7" s="520">
        <f t="array" ref="BK7">INDEX(TBL_002_Dates[Date], MATCH(1, ("ITT"=TBL_002_Dates[Stage])*("Clarification"=TBL_002_Dates[Activity]),0))</f>
        <v>44328</v>
      </c>
      <c r="BL7" s="520">
        <f t="array" ref="BL7">INDEX(TBL_002_Dates[Date], MATCH(1, ("ITT"=TBL_002_Dates[Stage])*("Return"=TBL_002_Dates[Activity]),0))</f>
        <v>44337</v>
      </c>
      <c r="BM7" s="520" t="str">
        <f t="array" ref="BM7">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7" s="520">
        <f t="array" ref="BN7">INDEX(TBL_002_Dates[Date], MATCH(1, ("ITT"=TBL_002_Dates[Stage])*("Eval_start"=TBL_002_Dates[Activity]),0))</f>
        <v>44340</v>
      </c>
      <c r="BO7" s="520">
        <f t="array" ref="BO7">INDEX(TBL_002_Dates[Date], MATCH(1, ("ITT"=TBL_002_Dates[Stage])*("Eval_end"=TBL_002_Dates[Activity]),0))</f>
        <v>44348</v>
      </c>
      <c r="BP7" s="520">
        <f t="array" ref="BP7">INDEX(TBL_002_Dates[Date], MATCH(1, ("Final"=TBL_002_Dates[Stage])*("Feedback"=TBL_002_Dates[Activity]),0))</f>
        <v>44350</v>
      </c>
      <c r="BQ7" s="520">
        <f t="array" ref="BQ7">INDEX(TBL_002_Dates[Date], MATCH(1, ("Mob"=TBL_002_Dates[Stage])*("Start"=TBL_002_Dates[Activity]),0))</f>
        <v>44351</v>
      </c>
      <c r="BR7"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7" s="520">
        <f t="array" ref="BS7">INDEX(TBL_002_Dates[Date], MATCH(1, ("Commence"=TBL_002_Dates[Stage])*("Commence"=TBL_002_Dates[Activity]),0))</f>
        <v>44378</v>
      </c>
      <c r="BT7" s="521" t="str">
        <f>VLOOKUP(MONTH(TBL_003_DocMerge[[#This Row],[Contract_commences]]), TBL_005_Month[], 2, FALSE)</f>
        <v>July</v>
      </c>
      <c r="BU7" s="522">
        <f>YEAR(TBL_003_DocMerge[[#This Row],[Contract_commences]])</f>
        <v>2021</v>
      </c>
      <c r="BV7" s="519">
        <f t="shared" si="3"/>
        <v>5</v>
      </c>
      <c r="BW7" s="519" t="s">
        <v>762</v>
      </c>
      <c r="BX7" s="519" t="str">
        <f t="shared" si="5"/>
        <v>No</v>
      </c>
      <c r="BY7" s="519" t="str">
        <f t="shared" si="6"/>
        <v>No</v>
      </c>
      <c r="BZ7" s="519">
        <f>'Project Info'!$B$113</f>
        <v>0</v>
      </c>
      <c r="CA7" s="519" t="str">
        <f t="array" ref="CA7">IFERROR(INDEX(TBL_007_LotInfo[Name], MATCH(1, (TBL_007_LotInfo[No]=5)*(TBL_007_LotInfo[Include?]="Yes"),0)), "[Remove]")</f>
        <v>Roofing</v>
      </c>
      <c r="CB7" s="519" t="str">
        <f t="array" ref="CB7">IFERROR(INDEX(TBL_007_LotInfo[Description], MATCH(1, (TBL_007_LotInfo[No]=5)*(TBL_007_LotInfo[Include?]="Yes"),0)), "[Remove]")</f>
        <v/>
      </c>
      <c r="CC7" s="519" t="str">
        <f t="array" ref="CC7">IFERROR(INDEX(TBL_007_LotInfo[Approx?], MATCH(1, (TBL_007_LotInfo[No]=5)*(TBL_007_LotInfo[Include?]="Yes"),0)), "[Remove]")</f>
        <v>approximately</v>
      </c>
      <c r="CD7" s="519">
        <f t="array" ref="CD7">IFERROR(INDEX(TBL_007_LotInfo[Props], MATCH(1, (TBL_007_LotInfo[No]=5)*(TBL_007_LotInfo[Include?]="Yes"),0)), "[Remove]")</f>
        <v>2200</v>
      </c>
      <c r="CE7" s="519" t="str">
        <f t="array" ref="CE7">IFERROR(INDEX(TBL_007_LotInfo[Type_Prop], MATCH(1, (TBL_007_LotInfo[No]=5)*(TBL_007_LotInfo[Include?]="Yes"),0)), "[Remove]")</f>
        <v>properties</v>
      </c>
      <c r="CF7" s="519" t="str">
        <f t="array" ref="CF7">IFERROR(INDEX(TBL_007_LotInfo[Value_type], MATCH(1, (TBL_007_LotInfo[No]=5)*(TBL_007_LotInfo[Include?]="Yes"),0)), "[Remove]")</f>
        <v>Single figure</v>
      </c>
      <c r="CG7" s="519">
        <f t="array" ref="CG7">IFERROR(INDEX(TBL_007_LotInfo[Value_Max], MATCH(1, (TBL_007_LotInfo[No]=5)*(TBL_007_LotInfo[Include?]="Yes"),0)), "[Remove]")</f>
        <v>10000</v>
      </c>
      <c r="CH7" s="519" t="str">
        <f t="array" ref="CH7">IFERROR(INDEX(TBL_007_LotInfo[Value_Min], MATCH(1, (TBL_007_LotInfo[No]=5)*(TBL_007_LotInfo[Include?]="Yes"),0)), "[Remove]")</f>
        <v/>
      </c>
      <c r="CI7" s="519" t="str">
        <f t="array" ref="CI7">IFERROR(IF(INDEX(TBL_007_LotInfo[Cons_Min], MATCH(1, (TBL_007_LotInfo[No]=5)*(TBL_007_LotInfo[Include?]="Yes"),0))&gt;10, INDEX(TBL_007_LotInfo[Cons_Min], MATCH(1, (TBL_007_LotInfo[No]=5)*(TBL_007_LotInfo[Include?]="Yes"),0)), VLOOKUP(INDEX(TBL_007_LotInfo[Cons_Min], MATCH(1, (TBL_007_LotInfo[No]=5)*(TBL_007_LotInfo[Include?]="Yes"),0)), TBL_004_nolookup[], 2, FALSE)), "[Remove]")</f>
        <v>one</v>
      </c>
      <c r="CJ7" s="519" t="str">
        <f t="array" ref="CJ7">IFERROR(IF(INDEX(TBL_007_LotInfo[Cons_Max], MATCH(1, (TBL_007_LotInfo[No]=5)*(TBL_007_LotInfo[Include?]="Yes"),0))&gt;10, INDEX(TBL_007_LotInfo[Cons_Max], MATCH(1, (TBL_007_LotInfo[No]=5)*(TBL_007_LotInfo[Include?]="Yes"),0)), VLOOKUP(INDEX(TBL_007_LotInfo[Cons_Max], MATCH(1, (TBL_007_LotInfo[No]=5)*(TBL_007_LotInfo[Include?]="Yes"),0)), TBL_004_nolookup[], 2, FALSE)), "[Remove]")</f>
        <v>one</v>
      </c>
      <c r="CK7" s="519" t="s">
        <v>24</v>
      </c>
      <c r="CL7" s="519" t="s">
        <v>24</v>
      </c>
      <c r="CM7" s="519" t="s">
        <v>24</v>
      </c>
      <c r="CN7" s="519" t="s">
        <v>24</v>
      </c>
      <c r="CO7" s="519" t="s">
        <v>24</v>
      </c>
      <c r="CP7" s="519" t="s">
        <v>24</v>
      </c>
      <c r="CQ7" s="519" t="s">
        <v>24</v>
      </c>
      <c r="CR7" s="519" t="s">
        <v>24</v>
      </c>
      <c r="CS7" s="519" t="s">
        <v>24</v>
      </c>
      <c r="CT7" s="519" t="s">
        <v>24</v>
      </c>
      <c r="CU7" s="519" t="s">
        <v>24</v>
      </c>
      <c r="CV7" s="519" t="s">
        <v>24</v>
      </c>
      <c r="CW7" s="519" t="s">
        <v>24</v>
      </c>
      <c r="CX7" s="519" t="s">
        <v>24</v>
      </c>
      <c r="CY7" s="519" t="s">
        <v>24</v>
      </c>
      <c r="CZ7" s="519" t="s">
        <v>24</v>
      </c>
      <c r="DA7" s="519" t="s">
        <v>24</v>
      </c>
      <c r="DB7" s="519" t="s">
        <v>24</v>
      </c>
      <c r="DC7" s="519" t="s">
        <v>24</v>
      </c>
      <c r="DD7" s="519" t="s">
        <v>24</v>
      </c>
      <c r="DE7" s="519" t="s">
        <v>24</v>
      </c>
      <c r="DF7" s="519" t="s">
        <v>24</v>
      </c>
      <c r="DG7" s="519" t="s">
        <v>24</v>
      </c>
      <c r="DH7" s="519" t="s">
        <v>24</v>
      </c>
      <c r="DI7" s="519" t="s">
        <v>24</v>
      </c>
      <c r="DJ7" s="519" t="s">
        <v>24</v>
      </c>
      <c r="DK7" s="519" t="s">
        <v>24</v>
      </c>
      <c r="DL7" s="519" t="s">
        <v>24</v>
      </c>
      <c r="DM7" s="519" t="s">
        <v>24</v>
      </c>
      <c r="DN7" s="519" t="s">
        <v>24</v>
      </c>
      <c r="DO7" s="519" t="s">
        <v>24</v>
      </c>
      <c r="DP7" s="519" t="s">
        <v>24</v>
      </c>
      <c r="DQ7" s="519" t="s">
        <v>24</v>
      </c>
      <c r="DR7" s="519" t="s">
        <v>24</v>
      </c>
      <c r="DS7" s="519" t="s">
        <v>24</v>
      </c>
      <c r="DT7" s="519" t="s">
        <v>24</v>
      </c>
      <c r="DU7" s="519" t="s">
        <v>24</v>
      </c>
      <c r="DV7" s="519" t="s">
        <v>24</v>
      </c>
      <c r="DW7" s="519" t="s">
        <v>24</v>
      </c>
      <c r="DX7" s="519" t="s">
        <v>24</v>
      </c>
      <c r="DY7" s="519" t="s">
        <v>24</v>
      </c>
      <c r="DZ7" s="519" t="s">
        <v>24</v>
      </c>
      <c r="EA7" s="519" t="s">
        <v>24</v>
      </c>
      <c r="EB7" s="519" t="s">
        <v>24</v>
      </c>
      <c r="EC7" s="519" t="s">
        <v>24</v>
      </c>
      <c r="ED7" s="519" t="s">
        <v>24</v>
      </c>
      <c r="EE7" s="519" t="s">
        <v>24</v>
      </c>
      <c r="EF7" s="519" t="s">
        <v>24</v>
      </c>
      <c r="EG7" s="519" t="s">
        <v>24</v>
      </c>
      <c r="EH7" s="519" t="s">
        <v>24</v>
      </c>
      <c r="EI7" s="519" t="str">
        <f>'Project Info'!$B$27</f>
        <v>No</v>
      </c>
      <c r="EJ7" s="519" t="str">
        <f>IF(TBL_003_DocMerge[[#This Row],[Limit_Award?]]="Yes", IF('Project Info'!$B$28&lt;=10, VLOOKUP('Project Info'!$B$28, TBL_004_nolookup[], 2, FALSE), 'Project Info'!$B$28), "N/A")</f>
        <v>N/A</v>
      </c>
      <c r="EK7" s="519" t="str">
        <f>'Project Info'!$B$20</f>
        <v>SQ</v>
      </c>
      <c r="EL7" s="519" t="str">
        <f>IF(TBL_003_DocMerge[[#This Row],[Tender_Stage]]="SQ", "Candidate", "Tenderer")</f>
        <v>Candidate</v>
      </c>
      <c r="EM7" s="523" t="str">
        <f>IF(OR('Project Info'!$B$18="Open Procedure", 'Project Info'!$B$20="SQ", ), IF('Project Info'!$B$17="SQ", IF('Part 1_Supplier Info'!$C$9&lt;&gt;"", 'Part 1_Supplier Info'!$C$9, ""), IF('Project Info'!$B$17="PAS", IF(#REF!&lt;&gt;"",#REF!, ""),  IF(#REF!&lt;&gt;"",#REF!, ""))), IF(#REF!&lt;&gt;"",#REF!, ""))</f>
        <v/>
      </c>
    </row>
    <row r="8" spans="1:143" ht="28" hidden="1">
      <c r="A8" s="519" t="s">
        <v>1259</v>
      </c>
      <c r="B8" s="524" t="s">
        <v>1260</v>
      </c>
      <c r="C8" s="513" t="str">
        <f>'Project Info'!$B$3</f>
        <v>T1-5622</v>
      </c>
      <c r="D8" s="470" t="str">
        <f>'Project Info'!$B$7</f>
        <v>Islington and Shoreditch Housing Association</v>
      </c>
      <c r="E8" s="470" t="str">
        <f>'Project Info'!$B$8</f>
        <v>ISHA</v>
      </c>
      <c r="F8" s="470" t="str">
        <f>CONCATENATE('Project Info'!$B$9, " for ", TBL_003_DocMerge[[#This Row],[Lot_Ref]], " (", TBL_003_DocMerge[[#This Row],[Lot_1_Name]], ")")</f>
        <v>Dynamic Purchasing System - Responsive Repairs and Voids for Lot 6 (Glazing, ironmongery and locksmith)</v>
      </c>
      <c r="G8" s="470" t="str">
        <f>'Project Info'!$B$10</f>
        <v>reactive maintenance services</v>
      </c>
      <c r="H8" s="470" t="str">
        <f>'Project Info'!$B$11</f>
        <v xml:space="preserve">102 Blackstock Road, London N4 2DR </v>
      </c>
      <c r="I8" s="470" t="str">
        <f>'Project Info'!$B$12</f>
        <v>North and East London</v>
      </c>
      <c r="J8" s="470" t="str">
        <f>'Project Info'!$B$4</f>
        <v>Emma Pell</v>
      </c>
      <c r="K8" s="470" t="str">
        <f>'Project Info'!$C$4</f>
        <v>EP</v>
      </c>
      <c r="L8" s="470" t="str">
        <f>'Project Info'!$B$5</f>
        <v>Jennifer Hopkins</v>
      </c>
      <c r="M8" s="470" t="str">
        <f>IF('Project Info'!$B$6&lt;&gt;"", VLOOKUP('Project Info'!$B$6, TBL_033_Offices[], 2, FALSE), "To be added")</f>
        <v>Central Court, Knoll Rise, Orpington, BR6 0JA</v>
      </c>
      <c r="N8" s="470" t="str">
        <f>IF('Project Info'!$B$6&lt;&gt;"", VLOOKUP('Project Info'!$B$6, TBL_033_Offices[], 3, FALSE), "To be added")</f>
        <v>01689 885 080</v>
      </c>
      <c r="O8" s="514">
        <f>IF(TBL_003_DocMerge[[#This Row],[Abb_Stage]]="Final Tender",#REF!, IF(OR( TBL_003_DocMerge[[#This Row],[Abb_Stage]]="Initial Tender", TBL_003_DocMerge[[#This Row],[Abb_Stage]]="Tender"), IF('Project Info'!$B$21="Draft", TBL_003_DocMerge[[#This Row],[SQ_Issue_date]], TBL_003_DocMerge[[#This Row],[Issue_date]]), IF(TBL_003_DocMerge[[#This Row],[Procedure]]="Open Procedure", TBL_003_DocMerge[[#This Row],[Issue_date]], TBL_003_DocMerge[[#This Row],[SQ_Issue_date]])))</f>
        <v>44280</v>
      </c>
      <c r="P8" s="470" t="str">
        <f>IF('Project Info'!$B$18&lt;&gt;"", 'Project Info'!$B$18, "")</f>
        <v>Restricted Procedure</v>
      </c>
      <c r="Q8" s="470" t="str">
        <f>IF(OR('Project Info'!$B$15=Lookups!$F$7, 'Project Info'!$B$15=Lookups!$F$8), "Below", IF('Project Info'!$B$14="works", IF('Project Info'!$B$15=Lookups!$F$10, "Above", "Below"), IF('Project Info'!$B$15=Lookups!$G$9, "Above", "Below")))</f>
        <v>Above</v>
      </c>
      <c r="R8" s="470" t="str">
        <f>IF('Project Info'!$B$18="Open Procedure", "Request to Participate and Tender", IF('Project Info'!$B$20="SQ", "Request to Participate", IF('Project Info'!$B$20="Tender", 'Project Info'!$B$20, CONCATENATE('Project Info'!$B$20, " Tender"))))</f>
        <v>Request to Participate</v>
      </c>
      <c r="S8" s="470" t="str">
        <f>IF('Project Info'!$B$18="Open Procedure", CONCATENATE('Project Info'!$B$17," and Tender"), IF('Project Info'!$B$20="SQ", 'Project Info'!$B$17, IF(OR('Project Info'!$B$20="Initial",'Project Info'!$B$20="Final"),CONCATENATE('Project Info'!$B$20," tender"), "Tender")))</f>
        <v>SQ</v>
      </c>
      <c r="T8" s="470" t="str">
        <f>IF('Project Info'!$B$17&lt;&gt;"", 'Project Info'!$B$17, "")</f>
        <v>SQ</v>
      </c>
      <c r="U8" s="470" t="str">
        <f>'Project Info'!$B$14</f>
        <v>services</v>
      </c>
      <c r="V8" s="470" t="str">
        <f>'Project Info'!$B$13</f>
        <v>contract</v>
      </c>
      <c r="W8" s="470">
        <f>'Project Info'!$B$49</f>
        <v>0</v>
      </c>
      <c r="X8" s="470" t="str">
        <f>'Project Info'!$B$23</f>
        <v>Yes</v>
      </c>
      <c r="Y8" s="470">
        <f>IF('Project Info'!$B$24="N/A", "N/A", 'Project Info'!$B$24)</f>
        <v>6</v>
      </c>
      <c r="Z8" s="470" t="str">
        <f>IF(Lotted?="Yes", IF('Project Info'!$B$24="N/A", "N/A", IF('Project Info'!$B$24&gt;=11, CONCATENATE('Project Info'!$B$24, " lots"), CONCATENATE(VLOOKUP('Project Info'!$B$24, TBL_004_nolookup[], 2, FALSE), " lots"))), "N/A")</f>
        <v>six lots</v>
      </c>
      <c r="AA8" s="470" t="e">
        <f>IF('Project Info'!$B$31&gt;=11, 'Project Info'!$B$31, VLOOKUP('Project Info'!$B$31, TBL_004_nolookup[], 2, FALSE))</f>
        <v>#N/A</v>
      </c>
      <c r="AB8" s="470">
        <f>IF('Project Info'!$B$49="Other (please provide info)", 'Project Info'!$C$50, 'Project Info'!$B$50)</f>
        <v>0</v>
      </c>
      <c r="AC8" s="470">
        <f>IF('Project Info'!$B$49="Partnering", IF('Project Info'!$B$50="ACA Standard Form of Contract for Term Partnering (TPC 2005 – Amended 2008) published by The Association of Consultant Architects Ltd.  (ACA)", "TPC", "TAC"), 'Project Info'!$B$49)</f>
        <v>0</v>
      </c>
      <c r="AD8" s="470" t="str">
        <f>'Project Info'!$C$51</f>
        <v>consultant(s)</v>
      </c>
      <c r="AE8" s="470" t="str">
        <f>'Project Info'!$B$52</f>
        <v>Contract Administrator</v>
      </c>
      <c r="AF8" s="470" t="str">
        <f>'Project Info'!$C$52</f>
        <v>CA</v>
      </c>
      <c r="AG8" s="470" t="str">
        <f>IF('Project Info'!$B$49="Partnering", "Price Framework", "Tender Book")</f>
        <v>Tender Book</v>
      </c>
      <c r="AH8" s="470">
        <f>'Project Info'!$B$53</f>
        <v>0</v>
      </c>
      <c r="AI8" s="470" t="e">
        <f>IF('Project Info'!$B$54&gt;=11, CONCATENATE('Project Info'!$B$54, " ", TBL_003_DocMerge[[#This Row],[Duration_type]],"s"), IF( 'Project Info'!$B$54=1, CONCATENATE("one ",TBL_003_DocMerge[[#This Row],[Duration_type]]), CONCATENATE(VLOOKUP('Project Info'!$B$54, TBL_004_nolookup[], 2, FALSE), " ", TBL_003_DocMerge[[#This Row],[Duration_type]], "s")))</f>
        <v>#N/A</v>
      </c>
      <c r="AJ8" s="470" t="e">
        <f>IF('Project Info'!$B$55&gt;=11, CONCATENATE('Project Info'!$B$55, " ", TBL_003_DocMerge[[#This Row],[Duration_type]],"s"), IF( 'Project Info'!$B$55=1, CONCATENATE("one ",TBL_003_DocMerge[[#This Row],[Duration_type]]), CONCATENATE(VLOOKUP('Project Info'!$B$55, TBL_004_nolookup[], 2, FALSE), " ", TBL_003_DocMerge[[#This Row],[Duration_type]], "s")))</f>
        <v>#N/A</v>
      </c>
      <c r="AK8" s="470" t="e">
        <f>IF(('Project Info'!$B$55 - 'Project Info'!$B$54)&gt;=11, CONCATENATE(('Project Info'!$B$55 - 'Project Info'!$B$54), " ", TBL_003_DocMerge[[#This Row],[Duration_type]],"s"), IF( ('Project Info'!$B$55 - 'Project Info'!$B$54)=1, CONCATENATE("one ", TBL_003_DocMerge[[#This Row],[Duration_type]]), CONCATENATE(VLOOKUP(('Project Info'!$B$55 - 'Project Info'!$B$54), TBL_004_nolookup[], 2, FALSE), " ", TBL_003_DocMerge[[#This Row],[Duration_type]], "s")))</f>
        <v>#N/A</v>
      </c>
      <c r="AL8" s="470">
        <f>'Project Info'!$B$56</f>
        <v>0</v>
      </c>
      <c r="AM8" s="470" t="str">
        <f>IF(TBL_003_DocMerge[[#This Row],[annually_renewable]]="Yes - extensions on an annually renewable basis", "on an annually renewable basis",'Project Info'!$C$56)</f>
        <v/>
      </c>
      <c r="AN8" s="470" t="str">
        <f>'Project Info'!$B$65</f>
        <v>approximately</v>
      </c>
      <c r="AO8" s="470">
        <f>'Project Info'!$B$64</f>
        <v>2200</v>
      </c>
      <c r="AP8" s="470" t="str">
        <f>'Project Info'!$B$66</f>
        <v>No</v>
      </c>
      <c r="AQ8" s="470">
        <f>'Project Info'!$B$102</f>
        <v>0</v>
      </c>
      <c r="AR8" s="470">
        <f>'Project Info'!$B$103</f>
        <v>0</v>
      </c>
      <c r="AS8" s="470" t="str">
        <f>Int_or_SV</f>
        <v>Not applicable</v>
      </c>
      <c r="AT8" s="470">
        <f>TUPE</f>
        <v>0</v>
      </c>
      <c r="AU8" s="470" t="str">
        <f>'Project Info'!$B$61</f>
        <v/>
      </c>
      <c r="AV8" s="525">
        <f>'Project Info'!$B$68</f>
        <v>10000000</v>
      </c>
      <c r="AW8" s="525">
        <f>'Project Info'!$B$69</f>
        <v>10000000</v>
      </c>
      <c r="AX8" s="525">
        <f>'Project Info'!$B$70</f>
        <v>200000</v>
      </c>
      <c r="AY8" s="525">
        <f>'Project Info'!$B$71</f>
        <v>0</v>
      </c>
      <c r="AZ8" s="526" t="str">
        <f>Fin_Check</f>
        <v>No</v>
      </c>
      <c r="BA8" s="527" t="str">
        <f>IF('Project Info'!$B$16&lt;&gt;"", IF(OR('Project Info'!$B$16="Yes-Above", 'Project Info'!$B$16="Yes-Below (works only)"), "Yes", "No"), "")</f>
        <v>No</v>
      </c>
      <c r="BB8" s="519" t="str">
        <f>IF('Project Info'!$C$19&lt;&gt;"", 'Project Info'!$C$19, 'Project Info'!$B$19)</f>
        <v>myTenders</v>
      </c>
      <c r="BC8" s="520" cm="1">
        <f t="array" ref="BC8">INDEX(TBL_002_Dates[Date], MATCH(1, ("SQ"=TBL_002_Dates[Stage])*("Issue"=TBL_002_Dates[Activity]),0))</f>
        <v>44280</v>
      </c>
      <c r="BD8" s="520" cm="1">
        <f t="array" ref="BD8">INDEX(TBL_002_Dates[Date], MATCH(1, ("SQ"=TBL_002_Dates[Stage])*("Clarification"=TBL_002_Dates[Activity]),0))</f>
        <v>44302</v>
      </c>
      <c r="BE8" s="520" cm="1">
        <f t="array" ref="BE8">INDEX(TBL_002_Dates[Date], MATCH(1, ("SQ"=TBL_002_Dates[Stage])*("Return"=TBL_002_Dates[Activity]),0))</f>
        <v>44312</v>
      </c>
      <c r="BF8" s="520" t="str" cm="1">
        <f t="array" ref="BF8">IF(INDEX(TBL_002_Dates[Date], MATCH(1, ("SQ"=TBL_002_Dates[Stage])*("Time"=TBL_002_Dates[Activity]),0))=0.5,"12:00 noon",IF(INDEX(TBL_002_Dates[Date], MATCH(1, ("SQ"=TBL_002_Dates[Stage])*("Time"=TBL_002_Dates[Activity]),0))&lt;0.5, CONCATENATE(HOUR(INDEX(TBL_002_Dates[Date], MATCH(1, ("SQ"=TBL_002_Dates[Stage])*("Time"=TBL_002_Dates[Activity]),0))), ":00 am"),CONCATENATE((HOUR(INDEX(TBL_002_Dates[Date], MATCH(1, ("SQ"=TBL_002_Dates[Stage])*("Time"=TBL_002_Dates[Activity]),0)))-12), ":00 pm")))</f>
        <v>12:00 noon</v>
      </c>
      <c r="BG8" s="520" cm="1">
        <f t="array" ref="BG8">INDEX(TBL_002_Dates[Date], MATCH(1, ("SQ"=TBL_002_Dates[Stage])*("Eval_start"=TBL_002_Dates[Activity]),0))</f>
        <v>44313</v>
      </c>
      <c r="BH8" s="520" cm="1">
        <f t="array" ref="BH8">INDEX(TBL_002_Dates[Date], MATCH(1, ("SQ"=TBL_002_Dates[Stage])*("Eval_end"=TBL_002_Dates[Activity]),0))</f>
        <v>44316</v>
      </c>
      <c r="BI8" s="520" cm="1">
        <f t="array" ref="BI8">INDEX(TBL_002_Dates[Date], MATCH(1, ("SQ"=TBL_002_Dates[Stage])*("Feedback"=TBL_002_Dates[Activity]),0))</f>
        <v>44321</v>
      </c>
      <c r="BJ8" s="520" cm="1">
        <f t="array" ref="BJ8">INDEX(TBL_002_Dates[Date], MATCH(1, ("ITT"=TBL_002_Dates[Stage])*("Issue"=TBL_002_Dates[Activity]),0))</f>
        <v>44321</v>
      </c>
      <c r="BK8" s="520" cm="1">
        <f t="array" ref="BK8">INDEX(TBL_002_Dates[Date], MATCH(1, ("ITT"=TBL_002_Dates[Stage])*("Clarification"=TBL_002_Dates[Activity]),0))</f>
        <v>44328</v>
      </c>
      <c r="BL8" s="520" cm="1">
        <f t="array" ref="BL8">INDEX(TBL_002_Dates[Date], MATCH(1, ("ITT"=TBL_002_Dates[Stage])*("Return"=TBL_002_Dates[Activity]),0))</f>
        <v>44337</v>
      </c>
      <c r="BM8" s="520" t="str" cm="1">
        <f t="array" ref="BM8">IF(INDEX(TBL_002_Dates[Date], MATCH(1, ("ITT"=TBL_002_Dates[Stage])*("Time"=TBL_002_Dates[Activity]),0))=0.5,"12:00 noon",IF(INDEX(TBL_002_Dates[Date], MATCH(1, ("ITT"=TBL_002_Dates[Stage])*("Time"=TBL_002_Dates[Activity]),0))&lt;0.5, CONCATENATE(HOUR(INDEX(TBL_002_Dates[Date], MATCH(1, ("ITT"=TBL_002_Dates[Stage])*("Time"=TBL_002_Dates[Activity]),0))), ":00 am"),CONCATENATE((HOUR(INDEX(TBL_002_Dates[Date], MATCH(1, ("ITT"=TBL_002_Dates[Stage])*("Time"=TBL_002_Dates[Activity]),0)))-12), ":00 pm")))</f>
        <v>12:00 noon</v>
      </c>
      <c r="BN8" s="520" cm="1">
        <f t="array" ref="BN8">INDEX(TBL_002_Dates[Date], MATCH(1, ("ITT"=TBL_002_Dates[Stage])*("Eval_start"=TBL_002_Dates[Activity]),0))</f>
        <v>44340</v>
      </c>
      <c r="BO8" s="520" cm="1">
        <f t="array" ref="BO8">INDEX(TBL_002_Dates[Date], MATCH(1, ("ITT"=TBL_002_Dates[Stage])*("Eval_end"=TBL_002_Dates[Activity]),0))</f>
        <v>44348</v>
      </c>
      <c r="BP8" s="520" cm="1">
        <f t="array" ref="BP8">INDEX(TBL_002_Dates[Date], MATCH(1, ("Final"=TBL_002_Dates[Stage])*("Feedback"=TBL_002_Dates[Activity]),0))</f>
        <v>44350</v>
      </c>
      <c r="BQ8" s="520" cm="1">
        <f t="array" ref="BQ8">INDEX(TBL_002_Dates[Date], MATCH(1, ("Mob"=TBL_002_Dates[Stage])*("Start"=TBL_002_Dates[Activity]),0))</f>
        <v>44351</v>
      </c>
      <c r="BR8" s="520">
        <f>IF(OR(TBL_003_DocMerge[[#This Row],[Contract_commences]]-1=7, TBL_003_DocMerge[[#This Row],[Contract_commences]]-1=1), IF(TBL_003_DocMerge[[#This Row],[Contract_commences]]-2=7,TBL_003_DocMerge[[#This Row],[Contract_commences]]-3, TBL_003_DocMerge[[#This Row],[Contract_commences]]-2), TBL_003_DocMerge[[#This Row],[Contract_commences]]-1)</f>
        <v>44377</v>
      </c>
      <c r="BS8" s="520" cm="1">
        <f t="array" ref="BS8">INDEX(TBL_002_Dates[Date], MATCH(1, ("Commence"=TBL_002_Dates[Stage])*("Commence"=TBL_002_Dates[Activity]),0))</f>
        <v>44378</v>
      </c>
      <c r="BT8" s="521" t="str">
        <f>VLOOKUP(MONTH(TBL_003_DocMerge[[#This Row],[Contract_commences]]), TBL_005_Month[], 2, FALSE)</f>
        <v>July</v>
      </c>
      <c r="BU8" s="522">
        <f>YEAR(TBL_003_DocMerge[[#This Row],[Contract_commences]])</f>
        <v>2021</v>
      </c>
      <c r="BV8" s="519">
        <f>marks</f>
        <v>5</v>
      </c>
      <c r="BW8" s="519" t="str">
        <f>SQ_Same_Qs?</f>
        <v>Yes</v>
      </c>
      <c r="BX8" s="519" t="str">
        <f>SQ_Same_Response?</f>
        <v>No</v>
      </c>
      <c r="BY8" s="519" t="str">
        <f>SQ_Weighted?</f>
        <v>No</v>
      </c>
      <c r="BZ8" s="519">
        <f>'Project Info'!$B$113</f>
        <v>0</v>
      </c>
      <c r="CA8" s="519" t="str" cm="1">
        <f t="array" ref="CA8">IFERROR(INDEX(TBL_007_LotInfo[Name], MATCH(1, (TBL_007_LotInfo[No]=6)*(TBL_007_LotInfo[Include?]="Yes"),0)), "[Remove]")</f>
        <v>Glazing, ironmongery and locksmith</v>
      </c>
      <c r="CB8" s="519" t="str" cm="1">
        <f t="array" ref="CB8">IFERROR(INDEX(TBL_007_LotInfo[Description], MATCH(1, (TBL_007_LotInfo[No]=6)*(TBL_007_LotInfo[Include?]="Yes"),0)), "[Remove]")</f>
        <v/>
      </c>
      <c r="CC8" s="519" t="str" cm="1">
        <f t="array" ref="CC8">IFERROR(INDEX(TBL_007_LotInfo[Approx?], MATCH(1, (TBL_007_LotInfo[No]=6)*(TBL_007_LotInfo[Include?]="Yes"),0)), "[Remove]")</f>
        <v>approximately</v>
      </c>
      <c r="CD8" s="519" cm="1">
        <f t="array" ref="CD8">IFERROR(INDEX(TBL_007_LotInfo[Props], MATCH(1, (TBL_007_LotInfo[No]=6)*(TBL_007_LotInfo[Include?]="Yes"),0)), "[Remove]")</f>
        <v>2200</v>
      </c>
      <c r="CE8" s="519" t="str">
        <f t="array" ref="CE8">IFERROR(INDEX(TBL_007_LotInfo[Type_Prop], MATCH(1, (TBL_007_LotInfo[No]=5)*(TBL_007_LotInfo[Include?]="Yes"),0)), "[Remove]")</f>
        <v>properties</v>
      </c>
      <c r="CF8" s="519" t="str" cm="1">
        <f t="array" ref="CF8">IFERROR(INDEX(TBL_007_LotInfo[Value_type], MATCH(1, (TBL_007_LotInfo[No]=6)*(TBL_007_LotInfo[Include?]="Yes"),0)), "[Remove]")</f>
        <v>Single figure</v>
      </c>
      <c r="CG8" s="519" cm="1">
        <f t="array" ref="CG8">IFERROR(INDEX(TBL_007_LotInfo[Value_Max], MATCH(1, (TBL_007_LotInfo[No]=6)*(TBL_007_LotInfo[Include?]="Yes"),0)), "[Remove]")</f>
        <v>12000</v>
      </c>
      <c r="CH8" s="519" t="str" cm="1">
        <f t="array" ref="CH8">IFERROR(INDEX(TBL_007_LotInfo[Value_Min], MATCH(1, (TBL_007_LotInfo[No]=6)*(TBL_007_LotInfo[Include?]="Yes"),0)), "[Remove]")</f>
        <v/>
      </c>
      <c r="CI8" s="519" t="str" cm="1">
        <f t="array" ref="CI8">IFERROR(IF(INDEX(TBL_007_LotInfo[Cons_Min], MATCH(1, (TBL_007_LotInfo[No]=6)*(TBL_007_LotInfo[Include?]="Yes"),0))&gt;10, INDEX(TBL_007_LotInfo[Cons_Min], MATCH(1, (TBL_007_LotInfo[No]=6)*(TBL_007_LotInfo[Include?]="Yes"),0)), VLOOKUP(INDEX(TBL_007_LotInfo[Cons_Min], MATCH(1, (TBL_007_LotInfo[No]=6)*(TBL_007_LotInfo[Include?]="Yes"),0)), TBL_004_nolookup[], 2, FALSE)), "[Remove]")</f>
        <v>one</v>
      </c>
      <c r="CJ8" s="519" t="str" cm="1">
        <f t="array" ref="CJ8">IFERROR(IF(INDEX(TBL_007_LotInfo[Cons_Max], MATCH(1, (TBL_007_LotInfo[No]=6)*(TBL_007_LotInfo[Include?]="Yes"),0))&gt;10, INDEX(TBL_007_LotInfo[Cons_Max], MATCH(1, (TBL_007_LotInfo[No]=6)*(TBL_007_LotInfo[Include?]="Yes"),0)), VLOOKUP(INDEX(TBL_007_LotInfo[Cons_Max], MATCH(1, (TBL_007_LotInfo[No]=6)*(TBL_007_LotInfo[Include?]="Yes"),0)), TBL_004_nolookup[], 2, FALSE)), "[Remove]")</f>
        <v>one</v>
      </c>
      <c r="CK8" s="519" t="s">
        <v>24</v>
      </c>
      <c r="CL8" s="519" t="s">
        <v>24</v>
      </c>
      <c r="CM8" s="519" t="s">
        <v>24</v>
      </c>
      <c r="CN8" s="519" t="s">
        <v>24</v>
      </c>
      <c r="CO8" s="519" t="s">
        <v>24</v>
      </c>
      <c r="CP8" s="519" t="s">
        <v>24</v>
      </c>
      <c r="CQ8" s="519" t="s">
        <v>24</v>
      </c>
      <c r="CR8" s="519" t="s">
        <v>24</v>
      </c>
      <c r="CS8" s="519" t="s">
        <v>24</v>
      </c>
      <c r="CT8" s="519" t="s">
        <v>24</v>
      </c>
      <c r="CU8" s="519" t="s">
        <v>24</v>
      </c>
      <c r="CV8" s="519" t="s">
        <v>24</v>
      </c>
      <c r="CW8" s="519" t="s">
        <v>24</v>
      </c>
      <c r="CX8" s="519" t="s">
        <v>24</v>
      </c>
      <c r="CY8" s="519" t="s">
        <v>24</v>
      </c>
      <c r="CZ8" s="519" t="s">
        <v>24</v>
      </c>
      <c r="DA8" s="519" t="s">
        <v>24</v>
      </c>
      <c r="DB8" s="519" t="s">
        <v>24</v>
      </c>
      <c r="DC8" s="519" t="s">
        <v>24</v>
      </c>
      <c r="DD8" s="519" t="s">
        <v>24</v>
      </c>
      <c r="DE8" s="519" t="s">
        <v>24</v>
      </c>
      <c r="DF8" s="519" t="s">
        <v>24</v>
      </c>
      <c r="DG8" s="519" t="s">
        <v>24</v>
      </c>
      <c r="DH8" s="519" t="s">
        <v>24</v>
      </c>
      <c r="DI8" s="519" t="s">
        <v>24</v>
      </c>
      <c r="DJ8" s="519" t="s">
        <v>24</v>
      </c>
      <c r="DK8" s="519" t="s">
        <v>24</v>
      </c>
      <c r="DL8" s="519" t="s">
        <v>24</v>
      </c>
      <c r="DM8" s="519" t="s">
        <v>24</v>
      </c>
      <c r="DN8" s="519" t="s">
        <v>24</v>
      </c>
      <c r="DO8" s="519" t="s">
        <v>24</v>
      </c>
      <c r="DP8" s="519" t="s">
        <v>24</v>
      </c>
      <c r="DQ8" s="519" t="s">
        <v>24</v>
      </c>
      <c r="DR8" s="519" t="s">
        <v>24</v>
      </c>
      <c r="DS8" s="519" t="s">
        <v>24</v>
      </c>
      <c r="DT8" s="519" t="s">
        <v>24</v>
      </c>
      <c r="DU8" s="519" t="s">
        <v>24</v>
      </c>
      <c r="DV8" s="519" t="s">
        <v>24</v>
      </c>
      <c r="DW8" s="519" t="s">
        <v>24</v>
      </c>
      <c r="DX8" s="519" t="s">
        <v>24</v>
      </c>
      <c r="DY8" s="519" t="s">
        <v>24</v>
      </c>
      <c r="DZ8" s="519" t="s">
        <v>24</v>
      </c>
      <c r="EA8" s="519" t="s">
        <v>24</v>
      </c>
      <c r="EB8" s="519" t="s">
        <v>24</v>
      </c>
      <c r="EC8" s="519" t="s">
        <v>24</v>
      </c>
      <c r="ED8" s="519" t="s">
        <v>24</v>
      </c>
      <c r="EE8" s="519" t="s">
        <v>24</v>
      </c>
      <c r="EF8" s="519" t="s">
        <v>24</v>
      </c>
      <c r="EG8" s="519" t="s">
        <v>24</v>
      </c>
      <c r="EH8" s="519" t="s">
        <v>24</v>
      </c>
      <c r="EI8" s="519" t="str">
        <f>'Project Info'!$B$27</f>
        <v>No</v>
      </c>
      <c r="EJ8" s="519" t="str">
        <f>IF(TBL_003_DocMerge[[#This Row],[Limit_Award?]]="Yes", IF('Project Info'!$B$28&lt;=10, VLOOKUP('Project Info'!$B$28, TBL_004_nolookup[], 2, FALSE), 'Project Info'!$B$28), "N/A")</f>
        <v>N/A</v>
      </c>
      <c r="EK8" s="519" t="str">
        <f>'Project Info'!$B$20</f>
        <v>SQ</v>
      </c>
      <c r="EL8" s="519" t="str">
        <f>IF(TBL_003_DocMerge[[#This Row],[Tender_Stage]]="SQ", "Candidate", "Tenderer")</f>
        <v>Candidate</v>
      </c>
      <c r="EM8" s="523" t="str">
        <f>IF(OR('Project Info'!$B$18="Open Procedure", 'Project Info'!$B$20="SQ", ), IF('Project Info'!$B$17="SQ", IF('Part 1_Supplier Info'!$C$9&lt;&gt;"", 'Part 1_Supplier Info'!$C$9, ""), IF('Project Info'!$B$17="PAS", IF(#REF!&lt;&gt;"",#REF!, ""),  IF(#REF!&lt;&gt;"",#REF!, ""))), IF(#REF!&lt;&gt;"",#REF!, ""))</f>
        <v/>
      </c>
    </row>
  </sheetData>
  <sheetProtection algorithmName="SHA-512" hashValue="SjsovD2EA0RQZfEl19r4FmYrTlkSIAnLzzwaPOA6+qZAILRmhKRfsRzOoW/LyPJgMIAYPTf1oKIhAb8qA/0Hdw==" saltValue="82YQIfYakVcZ94sHiinINQ==" spinCount="100000" sheet="1" objects="1" scenarios="1"/>
  <phoneticPr fontId="107"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4928-60DE-4B1B-BCF9-CEAD6890BCDF}">
  <sheetPr codeName="Sheet12"/>
  <dimension ref="A1:R7"/>
  <sheetViews>
    <sheetView topLeftCell="A8" workbookViewId="0">
      <selection activeCell="A7" sqref="A1:XFD7"/>
    </sheetView>
  </sheetViews>
  <sheetFormatPr baseColWidth="10" defaultColWidth="8.6640625" defaultRowHeight="14"/>
  <cols>
    <col min="1" max="1" width="5.1640625" style="221" customWidth="1"/>
    <col min="2" max="2" width="10.6640625" style="222" customWidth="1"/>
    <col min="3" max="3" width="19.5" style="222" customWidth="1"/>
    <col min="4" max="4" width="37.83203125" style="222" customWidth="1"/>
    <col min="5" max="5" width="12.6640625" style="222" customWidth="1"/>
    <col min="6" max="7" width="16.33203125" style="222" customWidth="1"/>
    <col min="8" max="8" width="15.1640625" style="222" bestFit="1" customWidth="1"/>
    <col min="9" max="10" width="17.5" style="222" customWidth="1"/>
    <col min="11" max="11" width="11.83203125" style="222" bestFit="1" customWidth="1"/>
    <col min="12" max="12" width="12.33203125" style="222" bestFit="1" customWidth="1"/>
    <col min="13" max="13" width="12.5" style="222" bestFit="1" customWidth="1"/>
    <col min="14" max="15" width="13.1640625" style="222" bestFit="1" customWidth="1"/>
    <col min="16" max="16" width="13.6640625" style="222" bestFit="1" customWidth="1"/>
    <col min="17" max="17" width="13.33203125" style="222" bestFit="1" customWidth="1"/>
    <col min="18" max="18" width="13.83203125" style="222" bestFit="1" customWidth="1"/>
    <col min="19" max="16384" width="8.6640625" style="222"/>
  </cols>
  <sheetData>
    <row r="1" spans="1:18" hidden="1">
      <c r="A1" s="221" t="s">
        <v>762</v>
      </c>
      <c r="B1" s="222" t="s">
        <v>770</v>
      </c>
      <c r="C1" s="222" t="s">
        <v>292</v>
      </c>
      <c r="D1" s="222" t="s">
        <v>103</v>
      </c>
      <c r="E1" s="413" t="s">
        <v>1174</v>
      </c>
      <c r="F1" s="222" t="s">
        <v>775</v>
      </c>
      <c r="G1" s="413" t="s">
        <v>1175</v>
      </c>
      <c r="H1" s="222" t="s">
        <v>771</v>
      </c>
      <c r="I1" s="222" t="s">
        <v>772</v>
      </c>
      <c r="J1" s="222" t="s">
        <v>773</v>
      </c>
      <c r="K1" s="413" t="s">
        <v>663</v>
      </c>
      <c r="L1" s="413" t="s">
        <v>665</v>
      </c>
      <c r="M1" s="413" t="s">
        <v>1047</v>
      </c>
      <c r="N1" s="413" t="s">
        <v>1048</v>
      </c>
      <c r="O1" s="413" t="s">
        <v>1154</v>
      </c>
      <c r="P1" s="413" t="s">
        <v>1155</v>
      </c>
      <c r="Q1" s="222" t="s">
        <v>774</v>
      </c>
      <c r="R1" s="222" t="s">
        <v>776</v>
      </c>
    </row>
    <row r="2" spans="1:18" hidden="1">
      <c r="A2" s="221">
        <v>1</v>
      </c>
      <c r="B2" s="222" t="str">
        <f>IF(No_Lots?&gt;=1, "Yes", "No")</f>
        <v>Yes</v>
      </c>
      <c r="C2" s="416" t="str">
        <f>IF(TBL_007_LotInfo[[#This Row],[Include?]]="Yes", IF('Project Info'!$B$122&lt;&gt;"", 'Project Info'!$B$122, ""), "N/A")</f>
        <v>General Builder</v>
      </c>
      <c r="D2" s="416" t="str">
        <f>IF(TBL_007_LotInfo[[#This Row],[Include?]]="Yes", IF('Project Info'!$B$123&lt;&gt;"", 'Project Info'!$B$123, ""), "N/A")</f>
        <v>multi-trade including carpentry, plastering, decorating, groundworks, brickworks, etc.</v>
      </c>
      <c r="E2" s="416" t="str">
        <f>IF(TBL_007_LotInfo[[#This Row],[Include?]]="Yes", IF('Project Info'!$B$126&lt;&gt;"", 'Project Info'!$B$126, ""), "N/A")</f>
        <v>approximately</v>
      </c>
      <c r="F2" s="414">
        <f>IF(TBL_007_LotInfo[[#This Row],[Include?]]="Yes", IF('Project Info'!$B$125&lt;&gt;"", 'Project Info'!$B$125, ""), "N/A")</f>
        <v>2200</v>
      </c>
      <c r="G2" s="414" t="str">
        <f>IF(TBL_007_LotInfo[[#This Row],[Include?]]="Yes", IF('Project Info'!$B$124&lt;&gt;"", 'Project Info'!$B$124, ""), "N/A")</f>
        <v>properties</v>
      </c>
      <c r="H2" s="416" t="str">
        <f>IF(TBL_007_LotInfo[[#This Row],[Include?]]="Yes", IF('Project Info'!$B$127&lt;&gt;"", 'Project Info'!$B$127, ""), "N/A")</f>
        <v>Single figure</v>
      </c>
      <c r="I2" s="228">
        <f>IF(TBL_007_LotInfo[[#This Row],[Include?]]="Yes", IF('Project Info'!$B$129&lt;&gt;"", 'Project Info'!$B$129, ""), "N/A")</f>
        <v>350000</v>
      </c>
      <c r="J2" s="228" t="str">
        <f>IF(TBL_007_LotInfo[[#This Row],[Include?]]="Yes", IF('Project Info'!$B$128&lt;&gt;"", 'Project Info'!$B$128, ""), "N/A")</f>
        <v/>
      </c>
      <c r="K2" s="414" t="str">
        <f>IF(TBL_007_LotInfo[[#This Row],[Include?]]="Yes", IF('Project Info'!$B$130&lt;&gt;"", 'Project Info'!$B$130, ""), "N/A")</f>
        <v/>
      </c>
      <c r="L2" s="414" t="str">
        <f>IF(TBL_007_LotInfo[[#This Row],[Include?]]="Yes", IF('Project Info'!$B$131&lt;&gt;"", 'Project Info'!$B$131, ""), "N/A")</f>
        <v/>
      </c>
      <c r="M2" s="414" t="str">
        <f>IF(TBL_007_LotInfo[[#This Row],[Include?]]="Yes", IF('Project Info'!$B$132&lt;&gt;"", 'Project Info'!$B$132, ""), "N/A")</f>
        <v/>
      </c>
      <c r="N2" s="414" t="str">
        <f>IF(TBL_007_LotInfo[[#This Row],[Include?]]="Yes", IF('Project Info'!$B$133&lt;&gt;"", 'Project Info'!$B$133, ""), "N/A")</f>
        <v/>
      </c>
      <c r="O2" s="415" t="str">
        <f>IF(TBL_007_LotInfo[[#This Row],[Include?]]="Yes", IF('Project Info'!$B$134&lt;&gt;"", 'Project Info'!$B$134, ""), "N/A")</f>
        <v/>
      </c>
      <c r="P2" s="415" t="str">
        <f>IF(TBL_007_LotInfo[[#This Row],[Include?]]="Yes", IF('Project Info'!$B$135&lt;&gt;"", 'Project Info'!$B$135, ""), "N/A")</f>
        <v/>
      </c>
      <c r="Q2" s="414">
        <f>IF(TBL_007_LotInfo[[#This Row],[Include?]]="Yes", IF('Project Info'!$B$136&lt;&gt;"", 'Project Info'!$B$136, ""), "N/A")</f>
        <v>1</v>
      </c>
      <c r="R2" s="414">
        <f>IF(TBL_007_LotInfo[[#This Row],[Include?]]="Yes", IF('Project Info'!$B$137&lt;&gt;"", 'Project Info'!$B$137, ""), "N/A")</f>
        <v>1</v>
      </c>
    </row>
    <row r="3" spans="1:18" hidden="1">
      <c r="A3" s="221">
        <v>2</v>
      </c>
      <c r="B3" s="222" t="str">
        <f>IF(No_Lots?&gt;=2, "Yes", "No")</f>
        <v>Yes</v>
      </c>
      <c r="C3" s="416" t="str">
        <f>IF(TBL_007_LotInfo[[#This Row],[Include?]]="Yes", IF('Project Info'!$B$139&lt;&gt;"", 'Project Info'!$B$139, ""), "N/A")</f>
        <v>Plumbing</v>
      </c>
      <c r="D3" s="416" t="str">
        <f>IF(TBL_007_LotInfo[[#This Row],[Include?]]="Yes", IF('Project Info'!$B$140&lt;&gt;"", 'Project Info'!$B$140, ""), "N/A")</f>
        <v/>
      </c>
      <c r="E3" s="416" t="str">
        <f>IF(TBL_007_LotInfo[[#This Row],[Include?]]="Yes", IF('Project Info'!$B$143&lt;&gt;"", 'Project Info'!$B$143, ""), "N/A")</f>
        <v>approximately</v>
      </c>
      <c r="F3" s="414">
        <f>IF(TBL_007_LotInfo[[#This Row],[Include?]]="Yes", IF('Project Info'!$B$142&lt;&gt;"", 'Project Info'!$B$142, ""), "N/A")</f>
        <v>2200</v>
      </c>
      <c r="G3" s="414" t="str">
        <f>IF(TBL_007_LotInfo[[#This Row],[Include?]]="Yes", IF('Project Info'!$B$141&lt;&gt;"", 'Project Info'!$B$141, ""), "N/A")</f>
        <v>properties</v>
      </c>
      <c r="H3" s="416" t="str">
        <f>IF(TBL_007_LotInfo[[#This Row],[Include?]]="Yes", IF('Project Info'!$B$144&lt;&gt;"", 'Project Info'!$B$144, ""), "N/A")</f>
        <v>Single figure</v>
      </c>
      <c r="I3" s="228">
        <f>IF(TBL_007_LotInfo[[#This Row],[Include?]]="Yes", IF('Project Info'!$B$146&lt;&gt;"", 'Project Info'!$B$146, ""), "N/A")</f>
        <v>155000</v>
      </c>
      <c r="J3" s="228" t="str">
        <f>IF(TBL_007_LotInfo[[#This Row],[Include?]]="Yes", IF('Project Info'!$B$145&lt;&gt;"", 'Project Info'!$B$145, ""), "N/A")</f>
        <v/>
      </c>
      <c r="K3" s="414" t="str">
        <f>IF(TBL_007_LotInfo[[#This Row],[Include?]]="Yes", IF('Project Info'!$B$147&lt;&gt;"", 'Project Info'!$B$147, ""), "N/A")</f>
        <v/>
      </c>
      <c r="L3" s="414" t="str">
        <f>IF(TBL_007_LotInfo[[#This Row],[Include?]]="Yes", IF('Project Info'!$B$148&lt;&gt;"", 'Project Info'!$B$148, ""), "N/A")</f>
        <v/>
      </c>
      <c r="M3" s="415" t="str">
        <f>IF(TBL_007_LotInfo[[#This Row],[Include?]]="Yes", IF('Project Info'!$B$149&lt;&gt;"", 'Project Info'!$B$149, ""), "N/A")</f>
        <v/>
      </c>
      <c r="N3" s="415" t="str">
        <f>IF(TBL_007_LotInfo[[#This Row],[Include?]]="Yes", IF('Project Info'!$B$150&lt;&gt;"", 'Project Info'!$B$150, ""), "N/A")</f>
        <v/>
      </c>
      <c r="O3" s="414" t="str">
        <f>IF(TBL_007_LotInfo[[#This Row],[Include?]]="Yes", IF('Project Info'!$B$151&lt;&gt;"", 'Project Info'!$B$151, ""), "N/A")</f>
        <v/>
      </c>
      <c r="P3" s="414" t="str">
        <f>IF(TBL_007_LotInfo[[#This Row],[Include?]]="Yes", IF('Project Info'!$B$152&lt;&gt;"", 'Project Info'!$B$152, ""), "N/A")</f>
        <v/>
      </c>
      <c r="Q3" s="414">
        <f>IF(TBL_007_LotInfo[[#This Row],[Include?]]="Yes", IF('Project Info'!$B$153&lt;&gt;"", 'Project Info'!$B$153, ""), "N/A")</f>
        <v>1</v>
      </c>
      <c r="R3" s="414">
        <f>IF(TBL_007_LotInfo[[#This Row],[Include?]]="Yes", IF('Project Info'!$B$154&lt;&gt;"", 'Project Info'!$B$154, ""), "N/A")</f>
        <v>1</v>
      </c>
    </row>
    <row r="4" spans="1:18" hidden="1">
      <c r="A4" s="221">
        <v>3</v>
      </c>
      <c r="B4" s="222" t="str">
        <f>IF(No_Lots?&gt;=3, "Yes", "No")</f>
        <v>Yes</v>
      </c>
      <c r="C4" s="416" t="str">
        <f>IF(TBL_007_LotInfo[[#This Row],[Include?]]="Yes", IF('Project Info'!$B$156&lt;&gt;"", 'Project Info'!$B$156, ""), "N/A")</f>
        <v>Electrics</v>
      </c>
      <c r="D4" s="416" t="str">
        <f>IF(TBL_007_LotInfo[[#This Row],[Include?]]="Yes", IF('Project Info'!$B$157&lt;&gt;"", 'Project Info'!$B$157, ""), "N/A")</f>
        <v/>
      </c>
      <c r="E4" s="416" t="str">
        <f>IF(TBL_007_LotInfo[[#This Row],[Include?]]="Yes", IF('Project Info'!$B$160&lt;&gt;"", 'Project Info'!$B$160, ""), "N/A")</f>
        <v>approximately</v>
      </c>
      <c r="F4" s="414">
        <f>IF(TBL_007_LotInfo[[#This Row],[Include?]]="Yes", IF('Project Info'!$B$159&lt;&gt;"", 'Project Info'!$B$159, ""), "N/A")</f>
        <v>2200</v>
      </c>
      <c r="G4" s="414" t="str">
        <f>IF(TBL_007_LotInfo[[#This Row],[Include?]]="Yes", IF('Project Info'!$B$158&lt;&gt;"", 'Project Info'!$B$158, ""), "N/A")</f>
        <v>properties</v>
      </c>
      <c r="H4" s="416" t="str">
        <f>IF(TBL_007_LotInfo[[#This Row],[Include?]]="Yes", IF('Project Info'!$B$161&lt;&gt;"", 'Project Info'!$B$161, ""), "N/A")</f>
        <v>Single figure</v>
      </c>
      <c r="I4" s="228">
        <f>IF(TBL_007_LotInfo[[#This Row],[Include?]]="Yes", IF('Project Info'!$B$163&lt;&gt;"", 'Project Info'!$B$163, ""), "N/A")</f>
        <v>100000</v>
      </c>
      <c r="J4" s="228" t="str">
        <f>IF(TBL_007_LotInfo[[#This Row],[Include?]]="Yes", IF('Project Info'!$B$162&lt;&gt;"", 'Project Info'!$B$162, ""), "N/A")</f>
        <v/>
      </c>
      <c r="K4" s="414" t="str">
        <f>IF(TBL_007_LotInfo[[#This Row],[Include?]]="Yes", IF('Project Info'!$B$164&lt;&gt;"", 'Project Info'!$B$164, ""), "N/A")</f>
        <v/>
      </c>
      <c r="L4" s="414" t="str">
        <f>IF(TBL_007_LotInfo[[#This Row],[Include?]]="Yes", IF('Project Info'!$B$165&lt;&gt;"", 'Project Info'!$B$165, ""), "N/A")</f>
        <v/>
      </c>
      <c r="M4" s="415" t="str">
        <f>IF(TBL_007_LotInfo[[#This Row],[Include?]]="Yes", IF('Project Info'!$B$166&lt;&gt;"", 'Project Info'!$B$166, ""), "N/A")</f>
        <v/>
      </c>
      <c r="N4" s="415" t="str">
        <f>IF(TBL_007_LotInfo[[#This Row],[Include?]]="Yes", IF('Project Info'!$B$167&lt;&gt;"", 'Project Info'!$B$167, ""), "N/A")</f>
        <v/>
      </c>
      <c r="O4" s="414" t="str">
        <f>IF(TBL_007_LotInfo[[#This Row],[Include?]]="Yes", IF('Project Info'!$B$168&lt;&gt;"", 'Project Info'!$B$168, ""), "N/A")</f>
        <v/>
      </c>
      <c r="P4" s="414" t="str">
        <f>IF(TBL_007_LotInfo[[#This Row],[Include?]]="Yes", IF('Project Info'!$B$169&lt;&gt;"", 'Project Info'!$B$169, ""), "N/A")</f>
        <v/>
      </c>
      <c r="Q4" s="414">
        <f>IF(TBL_007_LotInfo[[#This Row],[Include?]]="Yes", IF('Project Info'!$B$170&lt;&gt;"", 'Project Info'!$B$170, ""), "N/A")</f>
        <v>1</v>
      </c>
      <c r="R4" s="414">
        <f>IF(TBL_007_LotInfo[[#This Row],[Include?]]="Yes", IF('Project Info'!$B$171&lt;&gt;"", 'Project Info'!$B$171, ""), "N/A")</f>
        <v>1</v>
      </c>
    </row>
    <row r="5" spans="1:18" hidden="1">
      <c r="A5" s="221">
        <v>4</v>
      </c>
      <c r="B5" s="222" t="str">
        <f>IF(No_Lots?&gt;=4, "Yes", "No")</f>
        <v>Yes</v>
      </c>
      <c r="C5" s="416" t="str">
        <f>IF(TBL_007_LotInfo[[#This Row],[Include?]]="Yes", IF('Project Info'!$B$173&lt;&gt;"", 'Project Info'!$B$173, ""), "N/A")</f>
        <v>Drainage</v>
      </c>
      <c r="D5" s="416" t="str">
        <f>IF(TBL_007_LotInfo[[#This Row],[Include?]]="Yes", IF('Project Info'!$B$174&lt;&gt;"", 'Project Info'!$B$174, ""), "N/A")</f>
        <v/>
      </c>
      <c r="E5" s="416" t="str">
        <f>IF(TBL_007_LotInfo[[#This Row],[Include?]]="Yes", IF('Project Info'!$B$177&lt;&gt;"", 'Project Info'!$B$177, ""), "N/A")</f>
        <v>approximately</v>
      </c>
      <c r="F5" s="414">
        <f>IF(TBL_007_LotInfo[[#This Row],[Include?]]="Yes", IF('Project Info'!$B$176&lt;&gt;"", 'Project Info'!$B$176, ""), "N/A")</f>
        <v>2200</v>
      </c>
      <c r="G5" s="414" t="str">
        <f>IF(TBL_007_LotInfo[[#This Row],[Include?]]="Yes", IF('Project Info'!$B$175&lt;&gt;"", 'Project Info'!$B$175, ""), "N/A")</f>
        <v>properties</v>
      </c>
      <c r="H5" s="416" t="str">
        <f>IF(TBL_007_LotInfo[[#This Row],[Include?]]="Yes", IF('Project Info'!$B$178&lt;&gt;"", 'Project Info'!$B$178, ""), "N/A")</f>
        <v>Single figure</v>
      </c>
      <c r="I5" s="228">
        <f>IF(TBL_007_LotInfo[[#This Row],[Include?]]="Yes", IF('Project Info'!$B$180&lt;&gt;"", 'Project Info'!$B$180, ""), "N/A")</f>
        <v>30000</v>
      </c>
      <c r="J5" s="228" t="str">
        <f>IF(TBL_007_LotInfo[[#This Row],[Include?]]="Yes", IF('Project Info'!$B$179&lt;&gt;"", 'Project Info'!$B$179, ""), "N/A")</f>
        <v/>
      </c>
      <c r="K5" s="414" t="str">
        <f>IF(TBL_007_LotInfo[[#This Row],[Include?]]="Yes", IF('Project Info'!$B$181&lt;&gt;"", 'Project Info'!$B$181, ""), "N/A")</f>
        <v/>
      </c>
      <c r="L5" s="414" t="str">
        <f>IF(TBL_007_LotInfo[[#This Row],[Include?]]="Yes", IF('Project Info'!$B$182&lt;&gt;"", 'Project Info'!$B$182, ""), "N/A")</f>
        <v/>
      </c>
      <c r="M5" s="415" t="str">
        <f>IF(TBL_007_LotInfo[[#This Row],[Include?]]="Yes", IF('Project Info'!$B$183&lt;&gt;"", 'Project Info'!$B$183, ""), "N/A")</f>
        <v/>
      </c>
      <c r="N5" s="415" t="str">
        <f>IF(TBL_007_LotInfo[[#This Row],[Include?]]="Yes", IF('Project Info'!$B$184&lt;&gt;"", 'Project Info'!$B$184, ""), "N/A")</f>
        <v/>
      </c>
      <c r="O5" s="414" t="str">
        <f>IF(TBL_007_LotInfo[[#This Row],[Include?]]="Yes", IF('Project Info'!$B$185&lt;&gt;"", 'Project Info'!$B$185, ""), "N/A")</f>
        <v/>
      </c>
      <c r="P5" s="414" t="str">
        <f>IF(TBL_007_LotInfo[[#This Row],[Include?]]="Yes", IF('Project Info'!$B$186&lt;&gt;"", 'Project Info'!$B$186, ""), "N/A")</f>
        <v/>
      </c>
      <c r="Q5" s="414">
        <f>IF(TBL_007_LotInfo[[#This Row],[Include?]]="Yes", IF('Project Info'!$B$187&lt;&gt;"", 'Project Info'!$B$187, ""), "N/A")</f>
        <v>1</v>
      </c>
      <c r="R5" s="414">
        <f>IF(TBL_007_LotInfo[[#This Row],[Include?]]="Yes", IF('Project Info'!$B$188&lt;&gt;"", 'Project Info'!$B$188, ""), "N/A")</f>
        <v>1</v>
      </c>
    </row>
    <row r="6" spans="1:18" hidden="1">
      <c r="A6" s="221">
        <v>5</v>
      </c>
      <c r="B6" s="222" t="str">
        <f>IF(No_Lots?&gt;=5, "Yes", "No")</f>
        <v>Yes</v>
      </c>
      <c r="C6" s="416" t="str">
        <f>IF(TBL_007_LotInfo[[#This Row],[Include?]]="Yes", IF('Project Info'!$B$190&lt;&gt;"", 'Project Info'!$B$190, ""), "N/A")</f>
        <v>Roofing</v>
      </c>
      <c r="D6" s="416" t="str">
        <f>IF(TBL_007_LotInfo[[#This Row],[Include?]]="Yes", IF('Project Info'!$B$191&lt;&gt;"", 'Project Info'!$B$191, ""), "N/A")</f>
        <v/>
      </c>
      <c r="E6" s="416" t="str">
        <f>IF(TBL_007_LotInfo[[#This Row],[Include?]]="Yes", IF('Project Info'!$B$194&lt;&gt;"", 'Project Info'!$B$194, ""), "N/A")</f>
        <v>approximately</v>
      </c>
      <c r="F6" s="414">
        <f>IF(TBL_007_LotInfo[[#This Row],[Include?]]="Yes", IF('Project Info'!$B$193&lt;&gt;"", 'Project Info'!$B$193, ""), "N/A")</f>
        <v>2200</v>
      </c>
      <c r="G6" s="414" t="str">
        <f>IF(TBL_007_LotInfo[[#This Row],[Include?]]="Yes", IF('Project Info'!$B$192&lt;&gt;"", 'Project Info'!$B$192, ""), "N/A")</f>
        <v>properties</v>
      </c>
      <c r="H6" s="416" t="str">
        <f>IF(TBL_007_LotInfo[[#This Row],[Include?]]="Yes", IF('Project Info'!$B$195&lt;&gt;"", 'Project Info'!$B$195, ""), "N/A")</f>
        <v>Single figure</v>
      </c>
      <c r="I6" s="228">
        <f>IF(TBL_007_LotInfo[[#This Row],[Include?]]="Yes", IF('Project Info'!$B$197&lt;&gt;"", 'Project Info'!$B$197, ""), "N/A")</f>
        <v>10000</v>
      </c>
      <c r="J6" s="228" t="str">
        <f>IF(TBL_007_LotInfo[[#This Row],[Include?]]="Yes", IF('Project Info'!$B$196&lt;&gt;"", 'Project Info'!$B$196, ""), "N/A")</f>
        <v/>
      </c>
      <c r="K6" s="415" t="str">
        <f>IF(TBL_007_LotInfo[[#This Row],[Include?]]="Yes", IF('Project Info'!$B$198&lt;&gt;"", 'Project Info'!$B$198, ""), "N/A")</f>
        <v/>
      </c>
      <c r="L6" s="415" t="str">
        <f>IF(TBL_007_LotInfo[[#This Row],[Include?]]="Yes", IF('Project Info'!$B$199&lt;&gt;"", 'Project Info'!$B$199, ""), "N/A")</f>
        <v/>
      </c>
      <c r="M6" s="414" t="str">
        <f>IF(TBL_007_LotInfo[[#This Row],[Include?]]="Yes", IF('Project Info'!$B$200&lt;&gt;"", 'Project Info'!$B$200, ""), "N/A")</f>
        <v/>
      </c>
      <c r="N6" s="414" t="str">
        <f>IF(TBL_007_LotInfo[[#This Row],[Include?]]="Yes", IF('Project Info'!$B$201&lt;&gt;"", 'Project Info'!$B$201, ""), "N/A")</f>
        <v/>
      </c>
      <c r="O6" s="415" t="str">
        <f>IF(TBL_007_LotInfo[[#This Row],[Include?]]="Yes", IF('Project Info'!$B$202&lt;&gt;"", 'Project Info'!$B$202, ""), "N/A")</f>
        <v/>
      </c>
      <c r="P6" s="415" t="str">
        <f>IF(TBL_007_LotInfo[[#This Row],[Include?]]="Yes", IF('Project Info'!$B$203&lt;&gt;"", 'Project Info'!$B$203, ""), "N/A")</f>
        <v/>
      </c>
      <c r="Q6" s="414">
        <f>IF(TBL_007_LotInfo[[#This Row],[Include?]]="Yes", IF('Project Info'!$B$204&lt;&gt;"", 'Project Info'!$B$204, ""), "N/A")</f>
        <v>1</v>
      </c>
      <c r="R6" s="414">
        <f>IF(TBL_007_LotInfo[[#This Row],[Include?]]="Yes", IF('Project Info'!$B$205&lt;&gt;"", 'Project Info'!$B$205, ""), "N/A")</f>
        <v>1</v>
      </c>
    </row>
    <row r="7" spans="1:18" hidden="1">
      <c r="A7" s="221">
        <v>6</v>
      </c>
      <c r="B7" s="222" t="str">
        <f>IF(No_Lots?&gt;=6, "Yes", "No")</f>
        <v>Yes</v>
      </c>
      <c r="C7" s="416" t="str">
        <f>IF(TBL_007_LotInfo[[#This Row],[Include?]]="Yes", IF('Project Info'!$B$207&lt;&gt;"", 'Project Info'!$B$207, ""), "N/A")</f>
        <v>Glazing, ironmongery and locksmith</v>
      </c>
      <c r="D7" s="416" t="str">
        <f>IF(TBL_007_LotInfo[[#This Row],[Include?]]="Yes", IF('Project Info'!$B$208&lt;&gt;"", 'Project Info'!$B$208, ""), "N/A")</f>
        <v/>
      </c>
      <c r="E7" s="416" t="str">
        <f>IF(TBL_007_LotInfo[[#This Row],[Include?]]="Yes", IF('Project Info'!$B$211&lt;&gt;"", 'Project Info'!$B$211, ""), "N/A")</f>
        <v>approximately</v>
      </c>
      <c r="F7" s="414">
        <f>IF(TBL_007_LotInfo[[#This Row],[Include?]]="Yes", IF('Project Info'!$B$193&lt;&gt;"", 'Project Info'!$B$193, ""), "N/A")</f>
        <v>2200</v>
      </c>
      <c r="G7" s="414" t="str">
        <f>IF(TBL_007_LotInfo[[#This Row],[Include?]]="Yes", IF('Project Info'!$B$192&lt;&gt;"", 'Project Info'!$B$192, ""), "N/A")</f>
        <v>properties</v>
      </c>
      <c r="H7" s="416" t="str">
        <f>IF(TBL_007_LotInfo[[#This Row],[Include?]]="Yes", IF('Project Info'!$B$195&lt;&gt;"", 'Project Info'!$B$195, ""), "N/A")</f>
        <v>Single figure</v>
      </c>
      <c r="I7" s="228">
        <f>IF(TBL_007_LotInfo[[#This Row],[Include?]]="Yes", IF('Project Info'!$B$214&lt;&gt;"", 'Project Info'!$B$214, ""), "N/A")</f>
        <v>12000</v>
      </c>
      <c r="J7" s="228" t="str">
        <f>IF(TBL_007_LotInfo[[#This Row],[Include?]]="Yes", IF('Project Info'!$B$196&lt;&gt;"", 'Project Info'!$B$196, ""), "N/A")</f>
        <v/>
      </c>
      <c r="K7" s="415" t="str">
        <f>IF(TBL_007_LotInfo[[#This Row],[Include?]]="Yes", IF('Project Info'!$B$198&lt;&gt;"", 'Project Info'!$B$198, ""), "N/A")</f>
        <v/>
      </c>
      <c r="L7" s="415" t="str">
        <f>IF(TBL_007_LotInfo[[#This Row],[Include?]]="Yes", IF('Project Info'!$B$199&lt;&gt;"", 'Project Info'!$B$199, ""), "N/A")</f>
        <v/>
      </c>
      <c r="M7" s="414" t="str">
        <f>IF(TBL_007_LotInfo[[#This Row],[Include?]]="Yes", IF('Project Info'!$B$200&lt;&gt;"", 'Project Info'!$B$200, ""), "N/A")</f>
        <v/>
      </c>
      <c r="N7" s="414" t="str">
        <f>IF(TBL_007_LotInfo[[#This Row],[Include?]]="Yes", IF('Project Info'!$B$201&lt;&gt;"", 'Project Info'!$B$201, ""), "N/A")</f>
        <v/>
      </c>
      <c r="O7" s="415" t="str">
        <f>IF(TBL_007_LotInfo[[#This Row],[Include?]]="Yes", IF('Project Info'!$B$202&lt;&gt;"", 'Project Info'!$B$202, ""), "N/A")</f>
        <v/>
      </c>
      <c r="P7" s="415" t="str">
        <f>IF(TBL_007_LotInfo[[#This Row],[Include?]]="Yes", IF('Project Info'!$B$203&lt;&gt;"", 'Project Info'!$B$203, ""), "N/A")</f>
        <v/>
      </c>
      <c r="Q7" s="414">
        <f>IF(TBL_007_LotInfo[[#This Row],[Include?]]="Yes", IF('Project Info'!$B$204&lt;&gt;"", 'Project Info'!$B$204, ""), "N/A")</f>
        <v>1</v>
      </c>
      <c r="R7" s="414">
        <f>IF(TBL_007_LotInfo[[#This Row],[Include?]]="Yes", IF('Project Info'!$B$205&lt;&gt;"", 'Project Info'!$B$205, ""), "N/A")</f>
        <v>1</v>
      </c>
    </row>
  </sheetData>
  <sheetProtection algorithmName="SHA-512" hashValue="AS2LmRX+BfnSQGkMEGvgRtli27ZzgLtzmW8d8YLtKVFn15Wkv3+IqcNQNZzZXz3MIUpgjEfXXKdPnEXfvl43Tw==" saltValue="1vBflkt2DIld5JHxEuUtUA=="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5"/>
  <sheetViews>
    <sheetView topLeftCell="A56" workbookViewId="0">
      <selection activeCell="A55" sqref="A1:XFD55"/>
    </sheetView>
  </sheetViews>
  <sheetFormatPr baseColWidth="10" defaultColWidth="9.1640625" defaultRowHeight="13"/>
  <cols>
    <col min="1" max="1" width="14.1640625" style="340" customWidth="1"/>
    <col min="2" max="2" width="19.5" style="5" customWidth="1"/>
    <col min="3" max="3" width="15.1640625" style="5" customWidth="1"/>
    <col min="4" max="4" width="30" style="5" customWidth="1"/>
    <col min="5" max="5" width="4.33203125" style="5" customWidth="1"/>
    <col min="6" max="6" width="29" style="5" customWidth="1"/>
    <col min="7" max="8" width="27.83203125" style="5" customWidth="1"/>
    <col min="9" max="9" width="4.33203125" style="5" customWidth="1"/>
    <col min="10" max="10" width="16.6640625" style="5" customWidth="1"/>
    <col min="11" max="11" width="4.33203125" style="5" customWidth="1"/>
    <col min="12" max="12" width="23.83203125" style="5" customWidth="1"/>
    <col min="13" max="13" width="4.33203125" style="5" customWidth="1"/>
    <col min="14" max="14" width="20.33203125" style="5" customWidth="1"/>
    <col min="15" max="15" width="60.33203125" style="5" customWidth="1"/>
    <col min="16" max="16" width="45.33203125" style="5" customWidth="1"/>
    <col min="17" max="17" width="38.33203125" style="5" customWidth="1"/>
    <col min="18" max="18" width="28.83203125" style="2" customWidth="1"/>
    <col min="19" max="19" width="28.83203125" style="5" customWidth="1"/>
    <col min="20" max="20" width="9.1640625" style="5" customWidth="1"/>
    <col min="21" max="16384" width="9.1640625" style="5"/>
  </cols>
  <sheetData>
    <row r="1" spans="1:19" ht="14" hidden="1">
      <c r="A1" s="340" t="s">
        <v>63</v>
      </c>
      <c r="B1" s="5" t="s">
        <v>64</v>
      </c>
      <c r="D1" s="315" t="s">
        <v>198</v>
      </c>
      <c r="E1" s="315"/>
      <c r="F1" s="308" t="s">
        <v>198</v>
      </c>
      <c r="G1" s="311" t="s">
        <v>1010</v>
      </c>
      <c r="H1" s="316"/>
      <c r="J1" s="241" t="s">
        <v>912</v>
      </c>
      <c r="L1" s="5" t="s">
        <v>80</v>
      </c>
      <c r="N1" s="2" t="s">
        <v>28</v>
      </c>
      <c r="O1" s="5" t="s">
        <v>85</v>
      </c>
      <c r="P1" s="5" t="s">
        <v>86</v>
      </c>
      <c r="Q1" s="303" t="s">
        <v>995</v>
      </c>
      <c r="R1" s="2" t="s">
        <v>94</v>
      </c>
      <c r="S1" s="2" t="s">
        <v>180</v>
      </c>
    </row>
    <row r="2" spans="1:19" ht="42" hidden="1">
      <c r="A2" s="340">
        <v>1</v>
      </c>
      <c r="B2" s="5" t="s">
        <v>65</v>
      </c>
      <c r="D2" s="315" t="s">
        <v>1067</v>
      </c>
      <c r="E2" s="315"/>
      <c r="F2" s="5" t="s">
        <v>1070</v>
      </c>
      <c r="G2" s="5">
        <v>3</v>
      </c>
      <c r="H2" s="318"/>
      <c r="J2" s="241" t="s">
        <v>913</v>
      </c>
      <c r="L2" s="5" t="s">
        <v>25</v>
      </c>
      <c r="N2" s="2" t="s">
        <v>85</v>
      </c>
      <c r="O2" s="2" t="s">
        <v>26</v>
      </c>
      <c r="P2" s="2" t="s">
        <v>688</v>
      </c>
      <c r="Q2" s="304" t="s">
        <v>996</v>
      </c>
      <c r="R2" s="2" t="s">
        <v>88</v>
      </c>
      <c r="S2" s="2" t="s">
        <v>181</v>
      </c>
    </row>
    <row r="3" spans="1:19" ht="42" hidden="1">
      <c r="A3" s="340">
        <v>2</v>
      </c>
      <c r="B3" s="5" t="s">
        <v>66</v>
      </c>
      <c r="D3" s="315" t="s">
        <v>1068</v>
      </c>
      <c r="E3" s="315"/>
      <c r="F3" s="5" t="s">
        <v>1069</v>
      </c>
      <c r="G3" s="5">
        <v>3</v>
      </c>
      <c r="H3" s="318"/>
      <c r="J3" s="241" t="s">
        <v>914</v>
      </c>
      <c r="L3" s="5" t="s">
        <v>75</v>
      </c>
      <c r="N3" s="5" t="s">
        <v>86</v>
      </c>
      <c r="O3" s="2" t="s">
        <v>1002</v>
      </c>
      <c r="P3" s="2" t="s">
        <v>666</v>
      </c>
      <c r="Q3" s="304" t="s">
        <v>997</v>
      </c>
      <c r="R3" s="2" t="s">
        <v>89</v>
      </c>
      <c r="S3" s="2" t="s">
        <v>182</v>
      </c>
    </row>
    <row r="4" spans="1:19" ht="42" hidden="1">
      <c r="A4" s="340">
        <v>3</v>
      </c>
      <c r="B4" s="5" t="s">
        <v>67</v>
      </c>
      <c r="D4" s="315" t="s">
        <v>1069</v>
      </c>
      <c r="E4" s="315"/>
      <c r="F4" s="308" t="s">
        <v>1068</v>
      </c>
      <c r="G4" s="5">
        <v>5</v>
      </c>
      <c r="H4" s="318"/>
      <c r="J4" s="241" t="s">
        <v>915</v>
      </c>
      <c r="L4" s="5" t="s">
        <v>76</v>
      </c>
      <c r="N4" s="351" t="s">
        <v>995</v>
      </c>
      <c r="O4" s="304" t="s">
        <v>1003</v>
      </c>
      <c r="P4" s="365" t="s">
        <v>670</v>
      </c>
      <c r="Q4" s="304" t="s">
        <v>87</v>
      </c>
      <c r="R4" s="2" t="s">
        <v>90</v>
      </c>
      <c r="S4" s="2" t="s">
        <v>183</v>
      </c>
    </row>
    <row r="5" spans="1:19" ht="42" hidden="1">
      <c r="A5" s="340">
        <v>4</v>
      </c>
      <c r="B5" s="5" t="s">
        <v>68</v>
      </c>
      <c r="D5" s="315" t="s">
        <v>1070</v>
      </c>
      <c r="E5" s="315"/>
      <c r="F5" s="317"/>
      <c r="G5" s="318"/>
      <c r="H5" s="318"/>
      <c r="J5" s="241" t="s">
        <v>916</v>
      </c>
      <c r="L5" s="5" t="s">
        <v>77</v>
      </c>
      <c r="N5" s="5" t="s">
        <v>94</v>
      </c>
      <c r="O5" s="304" t="s">
        <v>998</v>
      </c>
      <c r="P5" s="2" t="s">
        <v>667</v>
      </c>
      <c r="R5" s="2" t="s">
        <v>91</v>
      </c>
      <c r="S5" s="2" t="s">
        <v>184</v>
      </c>
    </row>
    <row r="6" spans="1:19" ht="28" hidden="1">
      <c r="A6" s="340">
        <v>5</v>
      </c>
      <c r="B6" s="5" t="s">
        <v>69</v>
      </c>
      <c r="D6" s="315" t="s">
        <v>1071</v>
      </c>
      <c r="E6" s="315"/>
      <c r="F6" s="315" t="s">
        <v>1053</v>
      </c>
      <c r="G6" s="315" t="s">
        <v>1052</v>
      </c>
      <c r="H6" s="315" t="s">
        <v>1059</v>
      </c>
      <c r="J6" s="241" t="s">
        <v>917</v>
      </c>
      <c r="L6" s="5" t="s">
        <v>78</v>
      </c>
      <c r="N6" s="5" t="s">
        <v>180</v>
      </c>
      <c r="O6" s="2" t="s">
        <v>87</v>
      </c>
      <c r="P6" s="2" t="s">
        <v>668</v>
      </c>
      <c r="Q6" s="2"/>
      <c r="R6" s="2" t="s">
        <v>92</v>
      </c>
      <c r="S6" s="2" t="s">
        <v>185</v>
      </c>
    </row>
    <row r="7" spans="1:19" ht="42" hidden="1">
      <c r="A7" s="340">
        <v>6</v>
      </c>
      <c r="B7" s="5" t="s">
        <v>70</v>
      </c>
      <c r="F7" s="315" t="s">
        <v>1055</v>
      </c>
      <c r="G7" s="315" t="s">
        <v>1055</v>
      </c>
      <c r="H7" s="315" t="s">
        <v>1055</v>
      </c>
      <c r="J7" s="241" t="s">
        <v>918</v>
      </c>
      <c r="L7" s="5" t="s">
        <v>79</v>
      </c>
      <c r="N7" s="2" t="s">
        <v>27</v>
      </c>
      <c r="O7" s="2"/>
      <c r="P7" s="2" t="s">
        <v>669</v>
      </c>
      <c r="Q7" s="2"/>
      <c r="R7" s="2" t="s">
        <v>93</v>
      </c>
      <c r="S7" s="2" t="s">
        <v>87</v>
      </c>
    </row>
    <row r="8" spans="1:19" ht="28" hidden="1">
      <c r="A8" s="340">
        <v>7</v>
      </c>
      <c r="B8" s="5" t="s">
        <v>71</v>
      </c>
      <c r="F8" s="315" t="s">
        <v>1056</v>
      </c>
      <c r="G8" s="315" t="s">
        <v>1056</v>
      </c>
      <c r="H8" s="315" t="s">
        <v>1056</v>
      </c>
      <c r="L8" s="5" t="s">
        <v>83</v>
      </c>
      <c r="O8" s="2"/>
      <c r="P8" s="2" t="s">
        <v>690</v>
      </c>
      <c r="R8" s="2" t="s">
        <v>87</v>
      </c>
    </row>
    <row r="9" spans="1:19" ht="28" hidden="1">
      <c r="A9" s="340">
        <v>8</v>
      </c>
      <c r="B9" s="5" t="s">
        <v>72</v>
      </c>
      <c r="F9" s="315" t="s">
        <v>1057</v>
      </c>
      <c r="G9" s="315" t="s">
        <v>1058</v>
      </c>
      <c r="H9" s="315" t="s">
        <v>1058</v>
      </c>
      <c r="L9" s="5" t="s">
        <v>84</v>
      </c>
      <c r="O9" s="2"/>
      <c r="P9" s="2" t="s">
        <v>671</v>
      </c>
      <c r="R9" s="5"/>
    </row>
    <row r="10" spans="1:19" ht="28" hidden="1">
      <c r="A10" s="340">
        <v>9</v>
      </c>
      <c r="B10" s="5" t="s">
        <v>73</v>
      </c>
      <c r="F10" s="351" t="s">
        <v>1061</v>
      </c>
      <c r="L10" s="5" t="s">
        <v>81</v>
      </c>
      <c r="O10" s="2"/>
      <c r="P10" s="2" t="s">
        <v>691</v>
      </c>
      <c r="Q10" s="2"/>
      <c r="R10" s="5"/>
    </row>
    <row r="11" spans="1:19" ht="28" hidden="1">
      <c r="A11" s="340">
        <v>10</v>
      </c>
      <c r="B11" s="5" t="s">
        <v>158</v>
      </c>
      <c r="D11" s="351" t="s">
        <v>951</v>
      </c>
      <c r="L11" s="5" t="s">
        <v>82</v>
      </c>
      <c r="P11" s="2" t="s">
        <v>689</v>
      </c>
      <c r="Q11" s="2"/>
      <c r="R11" s="5"/>
    </row>
    <row r="12" spans="1:19" ht="28" hidden="1">
      <c r="D12" s="351" t="s">
        <v>1150</v>
      </c>
      <c r="F12" s="315" t="s">
        <v>1063</v>
      </c>
      <c r="G12" s="315" t="s">
        <v>1064</v>
      </c>
      <c r="H12" s="315" t="s">
        <v>1065</v>
      </c>
      <c r="P12" s="2" t="s">
        <v>695</v>
      </c>
      <c r="Q12" s="2"/>
    </row>
    <row r="13" spans="1:19" ht="28" hidden="1">
      <c r="A13" s="340" t="s">
        <v>63</v>
      </c>
      <c r="B13" s="5" t="s">
        <v>117</v>
      </c>
      <c r="F13" s="315" t="s">
        <v>1054</v>
      </c>
      <c r="G13" s="315" t="s">
        <v>1051</v>
      </c>
      <c r="H13" s="315" t="s">
        <v>928</v>
      </c>
      <c r="P13" s="2" t="s">
        <v>694</v>
      </c>
      <c r="Q13" s="2"/>
    </row>
    <row r="14" spans="1:19" ht="28" hidden="1">
      <c r="A14" s="340">
        <v>1</v>
      </c>
      <c r="B14" s="5" t="s">
        <v>105</v>
      </c>
      <c r="H14" s="315" t="s">
        <v>1066</v>
      </c>
      <c r="P14" s="2" t="s">
        <v>692</v>
      </c>
      <c r="Q14" s="2"/>
    </row>
    <row r="15" spans="1:19" ht="28" hidden="1">
      <c r="A15" s="340">
        <v>2</v>
      </c>
      <c r="B15" s="5" t="s">
        <v>106</v>
      </c>
      <c r="P15" s="2" t="s">
        <v>693</v>
      </c>
      <c r="Q15" s="2"/>
    </row>
    <row r="16" spans="1:19" ht="28" hidden="1">
      <c r="A16" s="340">
        <v>3</v>
      </c>
      <c r="B16" s="5" t="s">
        <v>107</v>
      </c>
      <c r="P16" s="2" t="s">
        <v>87</v>
      </c>
      <c r="Q16" s="2"/>
    </row>
    <row r="17" spans="1:17" hidden="1">
      <c r="A17" s="340">
        <v>4</v>
      </c>
      <c r="B17" s="5" t="s">
        <v>108</v>
      </c>
      <c r="P17" s="2"/>
      <c r="Q17" s="2"/>
    </row>
    <row r="18" spans="1:17" hidden="1">
      <c r="A18" s="340">
        <v>5</v>
      </c>
      <c r="B18" s="5" t="s">
        <v>109</v>
      </c>
      <c r="P18" s="2"/>
      <c r="Q18" s="2"/>
    </row>
    <row r="19" spans="1:17" hidden="1">
      <c r="A19" s="340">
        <v>6</v>
      </c>
      <c r="B19" s="5" t="s">
        <v>110</v>
      </c>
      <c r="P19" s="2"/>
      <c r="Q19" s="2"/>
    </row>
    <row r="20" spans="1:17" hidden="1">
      <c r="A20" s="340">
        <v>7</v>
      </c>
      <c r="B20" s="5" t="s">
        <v>111</v>
      </c>
      <c r="P20" s="2"/>
      <c r="Q20" s="2"/>
    </row>
    <row r="21" spans="1:17" hidden="1">
      <c r="A21" s="340">
        <v>8</v>
      </c>
      <c r="B21" s="5" t="s">
        <v>112</v>
      </c>
      <c r="P21" s="2"/>
      <c r="Q21" s="2"/>
    </row>
    <row r="22" spans="1:17" hidden="1">
      <c r="A22" s="340">
        <v>9</v>
      </c>
      <c r="B22" s="5" t="s">
        <v>113</v>
      </c>
      <c r="P22" s="2"/>
      <c r="Q22" s="2"/>
    </row>
    <row r="23" spans="1:17" hidden="1">
      <c r="A23" s="340">
        <v>10</v>
      </c>
      <c r="B23" s="5" t="s">
        <v>114</v>
      </c>
      <c r="L23" s="7"/>
      <c r="P23" s="2"/>
      <c r="Q23" s="2"/>
    </row>
    <row r="24" spans="1:17" hidden="1">
      <c r="A24" s="340">
        <v>11</v>
      </c>
      <c r="B24" s="5" t="s">
        <v>115</v>
      </c>
      <c r="P24" s="2"/>
      <c r="Q24" s="2"/>
    </row>
    <row r="25" spans="1:17" hidden="1">
      <c r="A25" s="340">
        <v>12</v>
      </c>
      <c r="B25" s="5" t="s">
        <v>116</v>
      </c>
      <c r="P25" s="2"/>
      <c r="Q25" s="2"/>
    </row>
    <row r="26" spans="1:17" hidden="1">
      <c r="Q26" s="2"/>
    </row>
    <row r="27" spans="1:17" hidden="1">
      <c r="A27" s="341" t="s">
        <v>63</v>
      </c>
      <c r="B27" s="8" t="s">
        <v>122</v>
      </c>
      <c r="Q27" s="2"/>
    </row>
    <row r="28" spans="1:17" hidden="1">
      <c r="A28" s="342">
        <v>1</v>
      </c>
      <c r="B28" s="9" t="s">
        <v>129</v>
      </c>
      <c r="Q28" s="2"/>
    </row>
    <row r="29" spans="1:17" hidden="1">
      <c r="A29" s="342">
        <v>2</v>
      </c>
      <c r="B29" s="9" t="s">
        <v>128</v>
      </c>
      <c r="Q29" s="2"/>
    </row>
    <row r="30" spans="1:17" hidden="1">
      <c r="A30" s="342">
        <v>3</v>
      </c>
      <c r="B30" s="9" t="s">
        <v>127</v>
      </c>
      <c r="Q30" s="2"/>
    </row>
    <row r="31" spans="1:17" hidden="1">
      <c r="A31" s="342">
        <v>4</v>
      </c>
      <c r="B31" s="9" t="s">
        <v>126</v>
      </c>
      <c r="P31" s="2"/>
      <c r="Q31" s="2"/>
    </row>
    <row r="32" spans="1:17" hidden="1">
      <c r="A32" s="342">
        <v>5</v>
      </c>
      <c r="B32" s="9" t="s">
        <v>123</v>
      </c>
    </row>
    <row r="33" spans="1:2" hidden="1">
      <c r="A33" s="342">
        <v>6</v>
      </c>
      <c r="B33" s="9" t="s">
        <v>124</v>
      </c>
    </row>
    <row r="34" spans="1:2" hidden="1">
      <c r="A34" s="343">
        <v>7</v>
      </c>
      <c r="B34" s="10" t="s">
        <v>125</v>
      </c>
    </row>
    <row r="35" spans="1:2" hidden="1"/>
    <row r="36" spans="1:2" ht="14" hidden="1">
      <c r="A36" s="226" t="s">
        <v>292</v>
      </c>
      <c r="B36" s="244" t="s">
        <v>876</v>
      </c>
    </row>
    <row r="37" spans="1:2" ht="14" hidden="1">
      <c r="A37" s="226" t="s">
        <v>877</v>
      </c>
      <c r="B37" s="245" t="s">
        <v>881</v>
      </c>
    </row>
    <row r="38" spans="1:2" ht="14" hidden="1">
      <c r="A38" s="226" t="s">
        <v>879</v>
      </c>
      <c r="B38" s="245" t="s">
        <v>880</v>
      </c>
    </row>
    <row r="39" spans="1:2" ht="14" hidden="1">
      <c r="A39" s="531" t="s">
        <v>1239</v>
      </c>
      <c r="B39" s="245" t="s">
        <v>888</v>
      </c>
    </row>
    <row r="40" spans="1:2" ht="28" hidden="1">
      <c r="A40" s="344" t="s">
        <v>976</v>
      </c>
      <c r="B40" s="245" t="s">
        <v>975</v>
      </c>
    </row>
    <row r="41" spans="1:2" ht="14" hidden="1">
      <c r="A41" s="226" t="s">
        <v>882</v>
      </c>
      <c r="B41" s="245" t="s">
        <v>878</v>
      </c>
    </row>
    <row r="42" spans="1:2" ht="14" hidden="1">
      <c r="A42" s="345" t="s">
        <v>883</v>
      </c>
      <c r="B42" s="245" t="s">
        <v>878</v>
      </c>
    </row>
    <row r="43" spans="1:2" ht="14" hidden="1">
      <c r="A43" s="226" t="s">
        <v>884</v>
      </c>
      <c r="B43" s="244" t="s">
        <v>885</v>
      </c>
    </row>
    <row r="44" spans="1:2" ht="14" hidden="1">
      <c r="A44" s="226" t="s">
        <v>886</v>
      </c>
      <c r="B44" s="245" t="s">
        <v>881</v>
      </c>
    </row>
    <row r="45" spans="1:2" ht="14" hidden="1">
      <c r="A45" s="344" t="s">
        <v>973</v>
      </c>
      <c r="B45" s="245" t="s">
        <v>974</v>
      </c>
    </row>
    <row r="46" spans="1:2" ht="14" hidden="1">
      <c r="A46" s="226" t="s">
        <v>887</v>
      </c>
      <c r="B46" s="245" t="s">
        <v>1258</v>
      </c>
    </row>
    <row r="47" spans="1:2" ht="14" hidden="1">
      <c r="A47" s="226" t="s">
        <v>889</v>
      </c>
      <c r="B47" s="245" t="s">
        <v>880</v>
      </c>
    </row>
    <row r="48" spans="1:2" ht="28" hidden="1">
      <c r="A48" s="226" t="s">
        <v>890</v>
      </c>
      <c r="B48" s="245" t="s">
        <v>891</v>
      </c>
    </row>
    <row r="49" spans="1:3" hidden="1"/>
    <row r="50" spans="1:3" hidden="1">
      <c r="A50" s="346" t="s">
        <v>977</v>
      </c>
      <c r="B50" s="303" t="s">
        <v>978</v>
      </c>
      <c r="C50" s="303" t="s">
        <v>979</v>
      </c>
    </row>
    <row r="51" spans="1:3" hidden="1">
      <c r="A51" s="346" t="s">
        <v>980</v>
      </c>
      <c r="B51" s="303" t="s">
        <v>981</v>
      </c>
      <c r="C51" s="303" t="s">
        <v>982</v>
      </c>
    </row>
    <row r="52" spans="1:3" hidden="1">
      <c r="A52" s="346" t="s">
        <v>983</v>
      </c>
      <c r="B52" s="303" t="s">
        <v>984</v>
      </c>
      <c r="C52" s="303" t="s">
        <v>985</v>
      </c>
    </row>
    <row r="53" spans="1:3" hidden="1">
      <c r="A53" s="346" t="s">
        <v>986</v>
      </c>
      <c r="B53" s="303" t="s">
        <v>987</v>
      </c>
      <c r="C53" s="303" t="s">
        <v>988</v>
      </c>
    </row>
    <row r="54" spans="1:3" hidden="1">
      <c r="A54" s="346" t="s">
        <v>989</v>
      </c>
      <c r="B54" s="303" t="s">
        <v>990</v>
      </c>
      <c r="C54" s="303" t="s">
        <v>991</v>
      </c>
    </row>
    <row r="55" spans="1:3" hidden="1">
      <c r="A55" s="346" t="s">
        <v>992</v>
      </c>
      <c r="B55" s="303" t="s">
        <v>993</v>
      </c>
      <c r="C55" s="303" t="s">
        <v>994</v>
      </c>
    </row>
  </sheetData>
  <sheetProtection algorithmName="SHA-512" hashValue="8XC8WYYZ0wjpxUIbJcS5Hj0W6CdI1oS0aWc7oveKEqaRYGuWh3UZMQbFzO6w5wYoq/rm0SsduEiWFOw5J4l2gg==" saltValue="BBhbzIDGAIIr3Cr0GbcLTQ==" spinCount="100000" sheet="1" objects="1" scenarios="1"/>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312"/>
  <sheetViews>
    <sheetView topLeftCell="O1" zoomScaleNormal="100" workbookViewId="0">
      <selection activeCell="S12" sqref="S12"/>
    </sheetView>
  </sheetViews>
  <sheetFormatPr baseColWidth="10" defaultColWidth="9.1640625" defaultRowHeight="13"/>
  <cols>
    <col min="1" max="1" width="10.6640625" style="18" hidden="1" customWidth="1"/>
    <col min="2" max="2" width="86.83203125" style="40" hidden="1" customWidth="1"/>
    <col min="3" max="3" width="26.33203125" style="42" hidden="1" customWidth="1"/>
    <col min="4" max="5" width="18.83203125" style="42" hidden="1" customWidth="1"/>
    <col min="6" max="6" width="13" style="42" hidden="1" customWidth="1"/>
    <col min="7" max="7" width="11.5" style="42" hidden="1" customWidth="1"/>
    <col min="8" max="9" width="13.1640625" style="42" hidden="1" customWidth="1"/>
    <col min="10" max="10" width="12.33203125" style="18" hidden="1" customWidth="1"/>
    <col min="11" max="12" width="8.83203125" style="30" hidden="1" customWidth="1"/>
    <col min="13" max="14" width="10.83203125" style="34" hidden="1" customWidth="1"/>
    <col min="15" max="15" width="10.83203125" style="34" customWidth="1"/>
    <col min="16" max="16" width="67.83203125" style="30" hidden="1" customWidth="1"/>
    <col min="17" max="17" width="36.83203125" style="48" hidden="1" customWidth="1"/>
    <col min="18" max="18" width="30.6640625" style="48" hidden="1" customWidth="1"/>
    <col min="19" max="16384" width="9.1640625" style="30"/>
  </cols>
  <sheetData>
    <row r="1" spans="1:18" s="26" customFormat="1" ht="14">
      <c r="A1" s="368" t="s">
        <v>175</v>
      </c>
      <c r="B1" s="369" t="s">
        <v>1074</v>
      </c>
      <c r="C1" s="370" t="s">
        <v>687</v>
      </c>
      <c r="D1" s="205" t="s">
        <v>785</v>
      </c>
      <c r="E1" s="205" t="s">
        <v>783</v>
      </c>
      <c r="F1" s="205" t="s">
        <v>782</v>
      </c>
      <c r="G1" s="205" t="s">
        <v>862</v>
      </c>
      <c r="H1" s="205" t="s">
        <v>780</v>
      </c>
      <c r="I1" s="371" t="s">
        <v>781</v>
      </c>
      <c r="J1" s="204" t="s">
        <v>777</v>
      </c>
      <c r="K1" s="206" t="s">
        <v>784</v>
      </c>
      <c r="L1" s="206" t="s">
        <v>1036</v>
      </c>
      <c r="M1" s="206" t="s">
        <v>957</v>
      </c>
      <c r="N1" s="206" t="s">
        <v>956</v>
      </c>
      <c r="O1" s="45"/>
      <c r="Q1" s="44"/>
      <c r="R1" s="44"/>
    </row>
    <row r="2" spans="1:18" s="47" customFormat="1" ht="17">
      <c r="A2" s="372" t="str">
        <f>IF(TBL_008_Qs_Lot_1[[#This Row],[Type]]="Question", K3, IF(TBL_008_Qs_Lot_1[[#This Row],[Sub_No]]="N/A", "", CONCATENATE(TBL_008_Qs_Lot_1[[#This Row],[Q_No]], TBL_008_Qs_Lot_1[[#This Row],[Sub_No]])))</f>
        <v/>
      </c>
      <c r="B2" s="376" t="str">
        <f t="array" ref="B2">IF(TBL_008_Qs_Lot_1[[#This Row],[Required?]]="Yes", CONCATENATE("Part 3 - ", IF('Project Info'!$B$17="SA", "Section (6) questions", IF('Project Info'!$B$17="PAS", "Q6 questions", "Section 6 questions")), IF(Lotted?="No", "", CONCATENATE(" for ", IF(AND(Doc_Lot="All", SQ_Same_Qs?="Yes"),"all Lots", INDEX(TBL_003_DocMerge[Lot_Ref], MATCH(1, (Doc_Lot=TBL_003_DocMerge[Lot])*(Job_No=TBL_003_DocMerge[Job_No]),0)))))), "Section not used")</f>
        <v>Part 3 - Section 6 questions for all Lots</v>
      </c>
      <c r="C2" s="373"/>
      <c r="D2" s="374"/>
      <c r="E2" s="373"/>
      <c r="F2" s="375"/>
      <c r="G2" s="373">
        <f t="array" ref="G2">IF(INDEX(TBL_003_DocMerge[PAS_or_SQ?], MATCH(1, (Job_No=TBL_003_DocMerge[Job_No])*(Doc_Lot=TBL_003_DocMerge[Lot]),0))="SQ", SUM(COUNTIFS(TBL_008_Qs_Lot_1[Section], INDEX(TBL_003_DocMerge[PAS_or_SQ?], MATCH(1, (Job_No=TBL_003_DocMerge[Job_No])*(Doc_Lot=TBL_003_DocMerge[Lot]),0)), TBL_008_Qs_Lot_1[Type], "Question")-2)-COUNTIFS(TBL_008_Qs_Lot_1[Question / Sub-question], "Not used", TBL_008_Qs_Lot_1[Type], "Question", TBL_008_Qs_Lot_1[Section], INDEX(TBL_003_DocMerge[PAS_or_SQ?], MATCH(1, (Job_No=TBL_003_DocMerge[Job_No])*(Doc_Lot=TBL_003_DocMerge[Lot]),0))), COUNTIFS(TBL_008_Qs_Lot_1[Section], INDEX(TBL_003_DocMerge[PAS_or_SQ?], MATCH(1, (Job_No=TBL_003_DocMerge[Job_No])*(Doc_Lot=TBL_003_DocMerge[Lot]),0)), TBL_008_Qs_Lot_1[Type], "Question")-COUNTIFS(TBL_008_Qs_Lot_1[Question / Sub-question], "Not used", TBL_008_Qs_Lot_1[Type], "Question", TBL_008_Qs_Lot_1[Section], INDEX(TBL_003_DocMerge[PAS_or_SQ?], MATCH(1, (Job_No=TBL_003_DocMerge[Job_No])*(Doc_Lot=TBL_003_DocMerge[Lot]),0))))</f>
        <v>1</v>
      </c>
      <c r="H2" s="374">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-5</v>
      </c>
      <c r="I2" s="374" t="str">
        <f t="array" ref="I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 s="376" t="s">
        <v>778</v>
      </c>
      <c r="K2" s="374" t="s">
        <v>786</v>
      </c>
      <c r="L2" s="374" t="s">
        <v>24</v>
      </c>
      <c r="M2" s="374" t="str">
        <f t="array" ref="M2">INDEX(TBL_003_DocMerge[PAS_or_SQ?], MATCH(1, (Job_No=TBL_003_DocMerge[Job_No])*(Doc_Lot=TBL_003_DocMerge[Lot]),0))</f>
        <v>SQ</v>
      </c>
      <c r="N2" s="377" t="str">
        <f>IF(OR('Project Info'!$B$18="Open Procedure", 'Project Info'!$B$20="SQ"), "Yes", "No")</f>
        <v>Yes</v>
      </c>
      <c r="P2" s="47">
        <f>IF(SQ_Weighted?="Yes", 100, SQ_Points_Lot_1)</f>
        <v>-5</v>
      </c>
      <c r="Q2" s="46"/>
      <c r="R2" s="46"/>
    </row>
    <row r="3" spans="1:18" s="26" customFormat="1" ht="56">
      <c r="A3" s="378" t="str">
        <f>IF(TBL_008_Qs_Lot_1[[#This Row],[Type]]="Question", K4, IF(TBL_008_Qs_Lot_1[[#This Row],[Sub_No]]="N/A", "", CONCATENATE(TBL_008_Qs_Lot_1[[#This Row],[Q_No]], TBL_008_Qs_Lot_1[[#This Row],[Sub_No]])))</f>
        <v>Q6.1</v>
      </c>
      <c r="B3" s="383" t="str">
        <f t="array" ref="B3">CONCATENATE(P3, IF(INDEX(TBL_003_DocMerge[works_service_supplies], MATCH(1, (Doc_Lot=TBL_003_DocMerge[Lot])*(Job_No=TBL_003_DocMerge[Job_No]),0))="works", Questions!R3, Questions!Q5), "If you cannot provide examples, please submit a response to Q6.3 instead.")</f>
        <v>Please provide details of up to three contracts, in any combination from either the public or private sector; voluntary, charity or social enterprise (VCSE) that are relevant to our requirement. VCSEs may include samples of grant-funded work.  If you cannot provide examples, please submit a response to Q6.3 instead.</v>
      </c>
      <c r="C3" s="379"/>
      <c r="D3" s="380"/>
      <c r="E3" s="381"/>
      <c r="F3" s="382">
        <f>TBL_008_Qs_Lot_1[[#This Row],[No.subs]]*500</f>
        <v>1500</v>
      </c>
      <c r="G3" s="380" t="str">
        <f>IF(TBL_008_Qs_Lot_1[[#This Row],[Type]]="Question", IF(SQ_Weighted?="Yes", "", "N/A"), "")</f>
        <v>N/A</v>
      </c>
      <c r="H3"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3</v>
      </c>
      <c r="I3" s="380">
        <f t="array" ref="I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15</v>
      </c>
      <c r="J3" s="383" t="s">
        <v>209</v>
      </c>
      <c r="K3" s="384" t="s">
        <v>24</v>
      </c>
      <c r="L3" s="385" t="s">
        <v>24</v>
      </c>
      <c r="M3" s="386" t="str">
        <f t="array" ref="M3">INDEX(TBL_003_DocMerge[PAS_or_SQ?], MATCH(1, (Job_No=TBL_003_DocMerge[Job_No])*(Doc_Lot=TBL_003_DocMerge[Lot]),0))</f>
        <v>SQ</v>
      </c>
      <c r="N3" s="387" t="str">
        <f>IF(OR('Project Info'!$B$18="Open Procedure", 'Project Info'!$B$20="SQ"), "Yes", "No")</f>
        <v>Yes</v>
      </c>
      <c r="P3" s="44" t="s">
        <v>660</v>
      </c>
      <c r="Q3" s="44" t="s">
        <v>659</v>
      </c>
      <c r="R3" s="44" t="s">
        <v>658</v>
      </c>
    </row>
    <row r="4" spans="1:18" s="26" customFormat="1" ht="28">
      <c r="A4" s="388" t="str">
        <f>IF(TBL_008_Qs_Lot_1[[#This Row],[Type]]="Question", K5, IF(TBL_008_Qs_Lot_1[[#This Row],[Sub_No]]="N/A", "", CONCATENATE(TBL_008_Qs_Lot_1[[#This Row],[Q_No]], TBL_008_Qs_Lot_1[[#This Row],[Sub_No]])))</f>
        <v>Q6.1.1</v>
      </c>
      <c r="B4" s="391" t="s">
        <v>655</v>
      </c>
      <c r="C4" s="389"/>
      <c r="D4" s="389"/>
      <c r="E4" s="389"/>
      <c r="F4" s="390"/>
      <c r="G4" s="389" t="str">
        <f>IF(TBL_008_Qs_Lot_1[[#This Row],[Type]]="Question", IF(SQ_Weighted?="Yes", "", "N/A"), "")</f>
        <v/>
      </c>
      <c r="H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 s="380" t="str">
        <f t="array" ref="I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 s="391" t="s">
        <v>779</v>
      </c>
      <c r="K4" s="384" t="s">
        <v>649</v>
      </c>
      <c r="L4" s="392" t="s">
        <v>1037</v>
      </c>
      <c r="M4" s="386" t="str">
        <f t="array" ref="M4">INDEX(TBL_003_DocMerge[PAS_or_SQ?], MATCH(1, (Job_No=TBL_003_DocMerge[Job_No])*(Doc_Lot=TBL_003_DocMerge[Lot]),0))</f>
        <v>SQ</v>
      </c>
      <c r="N4" s="387" t="str">
        <f>IF(OR('Project Info'!$B$18="Open Procedure", 'Project Info'!$B$20="SQ"), "Yes", "No")</f>
        <v>Yes</v>
      </c>
      <c r="Q4" s="44"/>
      <c r="R4" s="44"/>
    </row>
    <row r="5" spans="1:18" s="26" customFormat="1" ht="28">
      <c r="A5" s="388" t="str">
        <f>IF(TBL_008_Qs_Lot_1[[#This Row],[Type]]="Question", K6, IF(TBL_008_Qs_Lot_1[[#This Row],[Sub_No]]="N/A", "", CONCATENATE(TBL_008_Qs_Lot_1[[#This Row],[Q_No]], TBL_008_Qs_Lot_1[[#This Row],[Sub_No]])))</f>
        <v>Q6.1.2</v>
      </c>
      <c r="B5" s="391" t="s">
        <v>656</v>
      </c>
      <c r="C5" s="389"/>
      <c r="D5" s="389"/>
      <c r="E5" s="389"/>
      <c r="F5" s="390"/>
      <c r="G5" s="389" t="str">
        <f>IF(TBL_008_Qs_Lot_1[[#This Row],[Type]]="Question", IF(SQ_Weighted?="Yes", "", "N/A"), "")</f>
        <v/>
      </c>
      <c r="H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 s="380" t="str">
        <f t="array" ref="I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 s="391" t="s">
        <v>779</v>
      </c>
      <c r="K5" s="384" t="s">
        <v>649</v>
      </c>
      <c r="L5" s="392" t="s">
        <v>1041</v>
      </c>
      <c r="M5" s="386" t="str">
        <f t="array" ref="M5">INDEX(TBL_003_DocMerge[PAS_or_SQ?], MATCH(1, (Job_No=TBL_003_DocMerge[Job_No])*(Doc_Lot=TBL_003_DocMerge[Lot]),0))</f>
        <v>SQ</v>
      </c>
      <c r="N5" s="387" t="str">
        <f>IF(OR('Project Info'!$B$18="Open Procedure", 'Project Info'!$B$20="SQ"), "Yes", "No")</f>
        <v>Yes</v>
      </c>
      <c r="Q5" s="44"/>
      <c r="R5" s="44"/>
    </row>
    <row r="6" spans="1:18" s="26" customFormat="1" ht="28">
      <c r="A6" s="388" t="str">
        <f>IF(TBL_008_Qs_Lot_1[[#This Row],[Type]]="Question", K14, IF(TBL_008_Qs_Lot_1[[#This Row],[Sub_No]]="N/A", "", CONCATENATE(TBL_008_Qs_Lot_1[[#This Row],[Q_No]], TBL_008_Qs_Lot_1[[#This Row],[Sub_No]])))</f>
        <v>Q6.1.3</v>
      </c>
      <c r="B6" s="391" t="s">
        <v>657</v>
      </c>
      <c r="C6" s="389"/>
      <c r="D6" s="389"/>
      <c r="E6" s="389"/>
      <c r="F6" s="390"/>
      <c r="G6" s="389" t="str">
        <f>IF(TBL_008_Qs_Lot_1[[#This Row],[Type]]="Question", IF(SQ_Weighted?="Yes", "", "N/A"), "")</f>
        <v/>
      </c>
      <c r="H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 s="380" t="str">
        <f t="array" ref="I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 s="391" t="s">
        <v>779</v>
      </c>
      <c r="K6" s="384" t="s">
        <v>649</v>
      </c>
      <c r="L6" s="392" t="s">
        <v>1038</v>
      </c>
      <c r="M6" s="386" t="str">
        <f t="array" ref="M6">INDEX(TBL_003_DocMerge[PAS_or_SQ?], MATCH(1, (Job_No=TBL_003_DocMerge[Job_No])*(Doc_Lot=TBL_003_DocMerge[Lot]),0))</f>
        <v>SQ</v>
      </c>
      <c r="N6" s="387" t="str">
        <f>IF(OR('Project Info'!$B$18="Open Procedure", 'Project Info'!$B$20="SQ"), "Yes", "No")</f>
        <v>Yes</v>
      </c>
      <c r="Q6" s="44"/>
      <c r="R6" s="44"/>
    </row>
    <row r="7" spans="1:18" s="26" customFormat="1" ht="14">
      <c r="A7" s="393" t="str">
        <f>IF(TBL_008_Qs_Lot_1[[#This Row],[Type]]="Question", K8, IF(TBL_008_Qs_Lot_1[[#This Row],[Sub_No]]="N/A", "", CONCATENATE(TBL_008_Qs_Lot_1[[#This Row],[Q_No]], TBL_008_Qs_Lot_1[[#This Row],[Sub_No]])))</f>
        <v>Q6.1.4</v>
      </c>
      <c r="B7" s="393" t="s">
        <v>398</v>
      </c>
      <c r="C7" s="394"/>
      <c r="D7" s="394"/>
      <c r="E7" s="394"/>
      <c r="F7" s="395"/>
      <c r="G7" s="394" t="str">
        <f>IF(TBL_008_Qs_Lot_1[[#This Row],[Type]]="Question", IF(SQ_Weighted?="Yes", "", "N/A"), "")</f>
        <v/>
      </c>
      <c r="H7" s="394"/>
      <c r="I7" s="394" t="str">
        <f t="array" ref="I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 s="391" t="s">
        <v>779</v>
      </c>
      <c r="K7" s="394" t="s">
        <v>649</v>
      </c>
      <c r="L7" s="396" t="s">
        <v>1039</v>
      </c>
      <c r="M7" s="394" t="str">
        <f t="array" ref="M7">INDEX(TBL_003_DocMerge[PAS_or_SQ?], MATCH(1, (Job_No=TBL_003_DocMerge[Job_No])*(Doc_Lot=TBL_003_DocMerge[Lot]),0))</f>
        <v>SQ</v>
      </c>
      <c r="N7" s="397" t="str">
        <f>IF(OR('Project Info'!$B$18="Open Procedure", 'Project Info'!$B$20="SQ"), "Yes", "No")</f>
        <v>Yes</v>
      </c>
      <c r="Q7" s="44"/>
      <c r="R7" s="44"/>
    </row>
    <row r="8" spans="1:18" s="26" customFormat="1" ht="14">
      <c r="A8" s="393" t="str">
        <f>IF(TBL_008_Qs_Lot_1[[#This Row],[Type]]="Question", K9, IF(TBL_008_Qs_Lot_1[[#This Row],[Sub_No]]="N/A", "", CONCATENATE(TBL_008_Qs_Lot_1[[#This Row],[Q_No]], TBL_008_Qs_Lot_1[[#This Row],[Sub_No]])))</f>
        <v>Q6.1.5</v>
      </c>
      <c r="B8" s="393" t="s">
        <v>398</v>
      </c>
      <c r="C8" s="394"/>
      <c r="D8" s="394"/>
      <c r="E8" s="394"/>
      <c r="F8" s="395"/>
      <c r="G8" s="394" t="str">
        <f>IF(TBL_008_Qs_Lot_1[[#This Row],[Type]]="Question", IF(SQ_Weighted?="Yes", "", "N/A"), "")</f>
        <v/>
      </c>
      <c r="H8" s="394"/>
      <c r="I8" s="394" t="str">
        <f t="array" ref="I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 s="391" t="s">
        <v>779</v>
      </c>
      <c r="K8" s="394" t="s">
        <v>649</v>
      </c>
      <c r="L8" s="396" t="s">
        <v>1040</v>
      </c>
      <c r="M8" s="394" t="str">
        <f t="array" ref="M8">INDEX(TBL_003_DocMerge[PAS_or_SQ?], MATCH(1, (Job_No=TBL_003_DocMerge[Job_No])*(Doc_Lot=TBL_003_DocMerge[Lot]),0))</f>
        <v>SQ</v>
      </c>
      <c r="N8" s="397" t="str">
        <f>IF(OR('Project Info'!$B$18="Open Procedure", 'Project Info'!$B$20="SQ"), "Yes", "No")</f>
        <v>Yes</v>
      </c>
      <c r="Q8" s="44"/>
      <c r="R8" s="44"/>
    </row>
    <row r="9" spans="1:18" s="26" customFormat="1" ht="14">
      <c r="A9" s="393" t="str">
        <f>IF(TBL_008_Qs_Lot_1[[#This Row],[Type]]="Question", K10, IF(TBL_008_Qs_Lot_1[[#This Row],[Sub_No]]="N/A", "", CONCATENATE(TBL_008_Qs_Lot_1[[#This Row],[Q_No]], TBL_008_Qs_Lot_1[[#This Row],[Sub_No]])))</f>
        <v>Q6.1.6</v>
      </c>
      <c r="B9" s="393" t="s">
        <v>398</v>
      </c>
      <c r="C9" s="394"/>
      <c r="D9" s="394"/>
      <c r="E9" s="394"/>
      <c r="F9" s="395"/>
      <c r="G9" s="394" t="str">
        <f>IF(TBL_008_Qs_Lot_1[[#This Row],[Type]]="Question", IF(SQ_Weighted?="Yes", "", "N/A"), "")</f>
        <v/>
      </c>
      <c r="H9" s="394"/>
      <c r="I9" s="394" t="str">
        <f t="array" ref="I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 s="391" t="s">
        <v>779</v>
      </c>
      <c r="K9" s="394" t="s">
        <v>649</v>
      </c>
      <c r="L9" s="396" t="s">
        <v>1042</v>
      </c>
      <c r="M9" s="394" t="str">
        <f t="array" ref="M9">INDEX(TBL_003_DocMerge[PAS_or_SQ?], MATCH(1, (Job_No=TBL_003_DocMerge[Job_No])*(Doc_Lot=TBL_003_DocMerge[Lot]),0))</f>
        <v>SQ</v>
      </c>
      <c r="N9" s="397" t="str">
        <f>IF(OR('Project Info'!$B$18="Open Procedure", 'Project Info'!$B$20="SQ"), "Yes", "No")</f>
        <v>Yes</v>
      </c>
      <c r="Q9" s="44"/>
      <c r="R9" s="44"/>
    </row>
    <row r="10" spans="1:18" s="26" customFormat="1" ht="14">
      <c r="A10" s="393" t="str">
        <f>IF(TBL_008_Qs_Lot_1[[#This Row],[Type]]="Question", K11, IF(TBL_008_Qs_Lot_1[[#This Row],[Sub_No]]="N/A", "", CONCATENATE(TBL_008_Qs_Lot_1[[#This Row],[Q_No]], TBL_008_Qs_Lot_1[[#This Row],[Sub_No]])))</f>
        <v>Q6.1.7</v>
      </c>
      <c r="B10" s="393" t="s">
        <v>398</v>
      </c>
      <c r="C10" s="394"/>
      <c r="D10" s="394"/>
      <c r="E10" s="394"/>
      <c r="F10" s="395"/>
      <c r="G10" s="394" t="str">
        <f>IF(TBL_008_Qs_Lot_1[[#This Row],[Type]]="Question", IF(SQ_Weighted?="Yes", "", "N/A"), "")</f>
        <v/>
      </c>
      <c r="H10" s="394"/>
      <c r="I10" s="394" t="str">
        <f t="array" ref="I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 s="391" t="s">
        <v>779</v>
      </c>
      <c r="K10" s="394" t="s">
        <v>649</v>
      </c>
      <c r="L10" s="396" t="s">
        <v>1043</v>
      </c>
      <c r="M10" s="394" t="str">
        <f t="array" ref="M10">INDEX(TBL_003_DocMerge[PAS_or_SQ?], MATCH(1, (Job_No=TBL_003_DocMerge[Job_No])*(Doc_Lot=TBL_003_DocMerge[Lot]),0))</f>
        <v>SQ</v>
      </c>
      <c r="N10" s="397" t="str">
        <f>IF(OR('Project Info'!$B$18="Open Procedure", 'Project Info'!$B$20="SQ"), "Yes", "No")</f>
        <v>Yes</v>
      </c>
      <c r="Q10" s="44"/>
      <c r="R10" s="44"/>
    </row>
    <row r="11" spans="1:18" s="26" customFormat="1" ht="14">
      <c r="A11" s="393" t="str">
        <f>IF(TBL_008_Qs_Lot_1[[#This Row],[Type]]="Question", K12, IF(TBL_008_Qs_Lot_1[[#This Row],[Sub_No]]="N/A", "", CONCATENATE(TBL_008_Qs_Lot_1[[#This Row],[Q_No]], TBL_008_Qs_Lot_1[[#This Row],[Sub_No]])))</f>
        <v>Q6.1.8</v>
      </c>
      <c r="B11" s="393" t="s">
        <v>398</v>
      </c>
      <c r="C11" s="394"/>
      <c r="D11" s="394"/>
      <c r="E11" s="394"/>
      <c r="F11" s="395"/>
      <c r="G11" s="394" t="str">
        <f>IF(TBL_008_Qs_Lot_1[[#This Row],[Type]]="Question", IF(SQ_Weighted?="Yes", "", "N/A"), "")</f>
        <v/>
      </c>
      <c r="H11" s="394"/>
      <c r="I11" s="394" t="str">
        <f t="array" ref="I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 s="391" t="s">
        <v>779</v>
      </c>
      <c r="K11" s="394" t="s">
        <v>649</v>
      </c>
      <c r="L11" s="396" t="s">
        <v>1044</v>
      </c>
      <c r="M11" s="394" t="str">
        <f t="array" ref="M11">INDEX(TBL_003_DocMerge[PAS_or_SQ?], MATCH(1, (Job_No=TBL_003_DocMerge[Job_No])*(Doc_Lot=TBL_003_DocMerge[Lot]),0))</f>
        <v>SQ</v>
      </c>
      <c r="N11" s="397" t="str">
        <f>IF(OR('Project Info'!$B$18="Open Procedure", 'Project Info'!$B$20="SQ"), "Yes", "No")</f>
        <v>Yes</v>
      </c>
      <c r="Q11" s="44"/>
      <c r="R11" s="44"/>
    </row>
    <row r="12" spans="1:18" s="26" customFormat="1" ht="14">
      <c r="A12" s="393" t="str">
        <f>IF(TBL_008_Qs_Lot_1[[#This Row],[Type]]="Question", K13, IF(TBL_008_Qs_Lot_1[[#This Row],[Sub_No]]="N/A", "", CONCATENATE(TBL_008_Qs_Lot_1[[#This Row],[Q_No]], TBL_008_Qs_Lot_1[[#This Row],[Sub_No]])))</f>
        <v>Q6.1.9</v>
      </c>
      <c r="B12" s="393" t="s">
        <v>398</v>
      </c>
      <c r="C12" s="394"/>
      <c r="D12" s="394"/>
      <c r="E12" s="394"/>
      <c r="F12" s="395"/>
      <c r="G12" s="394" t="str">
        <f>IF(TBL_008_Qs_Lot_1[[#This Row],[Type]]="Question", IF(SQ_Weighted?="Yes", "", "N/A"), "")</f>
        <v/>
      </c>
      <c r="H12" s="394"/>
      <c r="I12" s="394" t="str">
        <f t="array" ref="I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 s="391" t="s">
        <v>779</v>
      </c>
      <c r="K12" s="394" t="s">
        <v>649</v>
      </c>
      <c r="L12" s="396" t="s">
        <v>1045</v>
      </c>
      <c r="M12" s="394" t="str">
        <f t="array" ref="M12">INDEX(TBL_003_DocMerge[PAS_or_SQ?], MATCH(1, (Job_No=TBL_003_DocMerge[Job_No])*(Doc_Lot=TBL_003_DocMerge[Lot]),0))</f>
        <v>SQ</v>
      </c>
      <c r="N12" s="397" t="str">
        <f>IF(OR('Project Info'!$B$18="Open Procedure", 'Project Info'!$B$20="SQ"), "Yes", "No")</f>
        <v>Yes</v>
      </c>
      <c r="Q12" s="44"/>
      <c r="R12" s="44"/>
    </row>
    <row r="13" spans="1:18" s="26" customFormat="1" ht="14">
      <c r="A13" s="393" t="str">
        <f>IF(TBL_008_Qs_Lot_1[[#This Row],[Type]]="Question", K14, IF(TBL_008_Qs_Lot_1[[#This Row],[Sub_No]]="N/A", "", CONCATENATE(TBL_008_Qs_Lot_1[[#This Row],[Q_No]], TBL_008_Qs_Lot_1[[#This Row],[Sub_No]])))</f>
        <v>Q6.1.10</v>
      </c>
      <c r="B13" s="393" t="s">
        <v>398</v>
      </c>
      <c r="C13" s="394"/>
      <c r="D13" s="394"/>
      <c r="E13" s="394"/>
      <c r="F13" s="395"/>
      <c r="G13" s="394" t="str">
        <f>IF(TBL_008_Qs_Lot_1[[#This Row],[Type]]="Question", IF(SQ_Weighted?="Yes", "", "N/A"), "")</f>
        <v/>
      </c>
      <c r="H13" s="394"/>
      <c r="I13" s="394" t="str">
        <f t="array" ref="I1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 s="391" t="s">
        <v>779</v>
      </c>
      <c r="K13" s="394" t="s">
        <v>649</v>
      </c>
      <c r="L13" s="396" t="s">
        <v>1046</v>
      </c>
      <c r="M13" s="394" t="str">
        <f t="array" ref="M13">INDEX(TBL_003_DocMerge[PAS_or_SQ?], MATCH(1, (Job_No=TBL_003_DocMerge[Job_No])*(Doc_Lot=TBL_003_DocMerge[Lot]),0))</f>
        <v>SQ</v>
      </c>
      <c r="N13" s="397" t="str">
        <f>IF(OR('Project Info'!$B$18="Open Procedure", 'Project Info'!$B$20="SQ"), "Yes", "No")</f>
        <v>Yes</v>
      </c>
      <c r="Q13" s="44"/>
      <c r="R13" s="44"/>
    </row>
    <row r="14" spans="1:18" s="26" customFormat="1" ht="14">
      <c r="A14" s="378" t="s">
        <v>653</v>
      </c>
      <c r="B14" s="383" t="str">
        <f t="array" ref="B14">IF(INDEX(TBL_003_DocMerge[PAS_or_SQ?], MATCH(1, (Job_No=TBL_003_DocMerge[Job_No])*(Doc_Lot=TBL_003_DocMerge[Lot]),0))="SQ", "Question not used", "Not used")</f>
        <v>Question not used</v>
      </c>
      <c r="C14" s="379"/>
      <c r="D14" s="380"/>
      <c r="E14" s="379"/>
      <c r="F14" s="382">
        <f>TBL_008_Qs_Lot_1[[#This Row],[No.subs]]*500</f>
        <v>0</v>
      </c>
      <c r="G14" s="380" t="str">
        <f>IF(TBL_008_Qs_Lot_1[[#This Row],[Type]]="Question", IF(SQ_Weighted?="Yes", "", "N/A"), "")</f>
        <v>N/A</v>
      </c>
      <c r="H14"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4" s="380">
        <f t="array" ref="I1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4" s="383" t="s">
        <v>209</v>
      </c>
      <c r="K14" s="384" t="s">
        <v>24</v>
      </c>
      <c r="L14" s="385" t="s">
        <v>24</v>
      </c>
      <c r="M14" s="386" t="str">
        <f t="array" ref="M14">INDEX(TBL_003_DocMerge[PAS_or_SQ?], MATCH(1, (Job_No=TBL_003_DocMerge[Job_No])*(Doc_Lot=TBL_003_DocMerge[Lot]),0))</f>
        <v>SQ</v>
      </c>
      <c r="N14" s="387" t="str">
        <f>IF(OR('Project Info'!$B$18="Open Procedure", 'Project Info'!$B$20="SQ"), "Yes", "No")</f>
        <v>Yes</v>
      </c>
      <c r="Q14" s="44"/>
      <c r="R14" s="44"/>
    </row>
    <row r="15" spans="1:18" s="26" customFormat="1" ht="14">
      <c r="A15" s="393" t="str">
        <f>IF(TBL_008_Qs_Lot_1[[#This Row],[Type]]="Question", K16, IF(TBL_008_Qs_Lot_1[[#This Row],[Sub_No]]="N/A", "", CONCATENATE(TBL_008_Qs_Lot_1[[#This Row],[Q_No]], TBL_008_Qs_Lot_1[[#This Row],[Sub_No]])))</f>
        <v>Q6.2.1</v>
      </c>
      <c r="B15" s="393" t="s">
        <v>398</v>
      </c>
      <c r="C15" s="394"/>
      <c r="D15" s="394"/>
      <c r="E15" s="394"/>
      <c r="F15" s="395"/>
      <c r="G15" s="394" t="str">
        <f>IF(TBL_008_Qs_Lot_1[[#This Row],[Type]]="Question", IF(SQ_Weighted?="Yes", "", "N/A"), "")</f>
        <v/>
      </c>
      <c r="H15"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 s="394" t="str">
        <f t="array" ref="I1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 s="391" t="s">
        <v>779</v>
      </c>
      <c r="K15" s="394" t="s">
        <v>653</v>
      </c>
      <c r="L15" s="396" t="s">
        <v>1037</v>
      </c>
      <c r="M15" s="386" t="str">
        <f t="array" ref="M15">INDEX(TBL_003_DocMerge[PAS_or_SQ?], MATCH(1, (Job_No=TBL_003_DocMerge[Job_No])*(Doc_Lot=TBL_003_DocMerge[Lot]),0))</f>
        <v>SQ</v>
      </c>
      <c r="N15" s="397" t="str">
        <f>IF(OR('Project Info'!$B$18="Open Procedure", 'Project Info'!$B$20="SQ"), "Yes", "No")</f>
        <v>Yes</v>
      </c>
      <c r="Q15" s="44"/>
      <c r="R15" s="44"/>
    </row>
    <row r="16" spans="1:18" s="26" customFormat="1" ht="14">
      <c r="A16" s="393" t="str">
        <f>IF(TBL_008_Qs_Lot_1[[#This Row],[Type]]="Question", K17, IF(TBL_008_Qs_Lot_1[[#This Row],[Sub_No]]="N/A", "", CONCATENATE(TBL_008_Qs_Lot_1[[#This Row],[Q_No]], TBL_008_Qs_Lot_1[[#This Row],[Sub_No]])))</f>
        <v>Q6.2.2</v>
      </c>
      <c r="B16" s="393" t="s">
        <v>398</v>
      </c>
      <c r="C16" s="394"/>
      <c r="D16" s="394"/>
      <c r="E16" s="394"/>
      <c r="F16" s="395"/>
      <c r="G16" s="394" t="str">
        <f>IF(TBL_008_Qs_Lot_1[[#This Row],[Type]]="Question", IF(SQ_Weighted?="Yes", "", "N/A"), "")</f>
        <v/>
      </c>
      <c r="H16"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 s="394" t="str">
        <f t="array" ref="I1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 s="391" t="s">
        <v>779</v>
      </c>
      <c r="K16" s="394" t="s">
        <v>653</v>
      </c>
      <c r="L16" s="396" t="s">
        <v>1041</v>
      </c>
      <c r="M16" s="386" t="str">
        <f t="array" ref="M16">INDEX(TBL_003_DocMerge[PAS_or_SQ?], MATCH(1, (Job_No=TBL_003_DocMerge[Job_No])*(Doc_Lot=TBL_003_DocMerge[Lot]),0))</f>
        <v>SQ</v>
      </c>
      <c r="N16" s="397" t="str">
        <f>IF(OR('Project Info'!$B$18="Open Procedure", 'Project Info'!$B$20="SQ"), "Yes", "No")</f>
        <v>Yes</v>
      </c>
      <c r="Q16" s="44"/>
      <c r="R16" s="44"/>
    </row>
    <row r="17" spans="1:18" s="26" customFormat="1" ht="14">
      <c r="A17" s="393" t="str">
        <f>IF(TBL_008_Qs_Lot_1[[#This Row],[Type]]="Question", K18, IF(TBL_008_Qs_Lot_1[[#This Row],[Sub_No]]="N/A", "", CONCATENATE(TBL_008_Qs_Lot_1[[#This Row],[Q_No]], TBL_008_Qs_Lot_1[[#This Row],[Sub_No]])))</f>
        <v>Q6.2.3</v>
      </c>
      <c r="B17" s="393" t="s">
        <v>398</v>
      </c>
      <c r="C17" s="394"/>
      <c r="D17" s="394"/>
      <c r="E17" s="394"/>
      <c r="F17" s="395"/>
      <c r="G17" s="394" t="str">
        <f>IF(TBL_008_Qs_Lot_1[[#This Row],[Type]]="Question", IF(SQ_Weighted?="Yes", "", "N/A"), "")</f>
        <v/>
      </c>
      <c r="H17"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 s="394" t="str">
        <f t="array" ref="I1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 s="391" t="s">
        <v>779</v>
      </c>
      <c r="K17" s="394" t="s">
        <v>653</v>
      </c>
      <c r="L17" s="396" t="s">
        <v>1038</v>
      </c>
      <c r="M17" s="386" t="str">
        <f t="array" ref="M17">INDEX(TBL_003_DocMerge[PAS_or_SQ?], MATCH(1, (Job_No=TBL_003_DocMerge[Job_No])*(Doc_Lot=TBL_003_DocMerge[Lot]),0))</f>
        <v>SQ</v>
      </c>
      <c r="N17" s="397" t="str">
        <f>IF(OR('Project Info'!$B$18="Open Procedure", 'Project Info'!$B$20="SQ"), "Yes", "No")</f>
        <v>Yes</v>
      </c>
      <c r="Q17" s="44"/>
      <c r="R17" s="44"/>
    </row>
    <row r="18" spans="1:18" s="26" customFormat="1" ht="14">
      <c r="A18" s="393" t="str">
        <f>IF(TBL_008_Qs_Lot_1[[#This Row],[Type]]="Question", K19, IF(TBL_008_Qs_Lot_1[[#This Row],[Sub_No]]="N/A", "", CONCATENATE(TBL_008_Qs_Lot_1[[#This Row],[Q_No]], TBL_008_Qs_Lot_1[[#This Row],[Sub_No]])))</f>
        <v>Q6.2.4</v>
      </c>
      <c r="B18" s="393" t="s">
        <v>398</v>
      </c>
      <c r="C18" s="394"/>
      <c r="D18" s="394"/>
      <c r="E18" s="394"/>
      <c r="F18" s="395"/>
      <c r="G18" s="394" t="str">
        <f>IF(TBL_008_Qs_Lot_1[[#This Row],[Type]]="Question", IF(SQ_Weighted?="Yes", "", "N/A"), "")</f>
        <v/>
      </c>
      <c r="H18"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 s="394" t="str">
        <f t="array" ref="I1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 s="391" t="s">
        <v>779</v>
      </c>
      <c r="K18" s="394" t="s">
        <v>653</v>
      </c>
      <c r="L18" s="396" t="s">
        <v>1039</v>
      </c>
      <c r="M18" s="386" t="str">
        <f t="array" ref="M18">INDEX(TBL_003_DocMerge[PAS_or_SQ?], MATCH(1, (Job_No=TBL_003_DocMerge[Job_No])*(Doc_Lot=TBL_003_DocMerge[Lot]),0))</f>
        <v>SQ</v>
      </c>
      <c r="N18" s="397" t="str">
        <f>IF(OR('Project Info'!$B$18="Open Procedure", 'Project Info'!$B$20="SQ"), "Yes", "No")</f>
        <v>Yes</v>
      </c>
      <c r="Q18" s="44"/>
      <c r="R18" s="44"/>
    </row>
    <row r="19" spans="1:18" s="26" customFormat="1" ht="14">
      <c r="A19" s="393" t="str">
        <f>IF(TBL_008_Qs_Lot_1[[#This Row],[Type]]="Question", K20, IF(TBL_008_Qs_Lot_1[[#This Row],[Sub_No]]="N/A", "", CONCATENATE(TBL_008_Qs_Lot_1[[#This Row],[Q_No]], TBL_008_Qs_Lot_1[[#This Row],[Sub_No]])))</f>
        <v>Q6.2.5</v>
      </c>
      <c r="B19" s="393" t="s">
        <v>398</v>
      </c>
      <c r="C19" s="394"/>
      <c r="D19" s="394"/>
      <c r="E19" s="394"/>
      <c r="F19" s="395"/>
      <c r="G19" s="394" t="str">
        <f>IF(TBL_008_Qs_Lot_1[[#This Row],[Type]]="Question", IF(SQ_Weighted?="Yes", "", "N/A"), "")</f>
        <v/>
      </c>
      <c r="H19"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 s="394" t="str">
        <f t="array" ref="I1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 s="391" t="s">
        <v>779</v>
      </c>
      <c r="K19" s="394" t="s">
        <v>653</v>
      </c>
      <c r="L19" s="396" t="s">
        <v>1040</v>
      </c>
      <c r="M19" s="386" t="str">
        <f t="array" ref="M19">INDEX(TBL_003_DocMerge[PAS_or_SQ?], MATCH(1, (Job_No=TBL_003_DocMerge[Job_No])*(Doc_Lot=TBL_003_DocMerge[Lot]),0))</f>
        <v>SQ</v>
      </c>
      <c r="N19" s="397" t="str">
        <f>IF(OR('Project Info'!$B$18="Open Procedure", 'Project Info'!$B$20="SQ"), "Yes", "No")</f>
        <v>Yes</v>
      </c>
      <c r="Q19" s="44"/>
      <c r="R19" s="44"/>
    </row>
    <row r="20" spans="1:18" s="26" customFormat="1" ht="14">
      <c r="A20" s="393" t="str">
        <f>IF(TBL_008_Qs_Lot_1[[#This Row],[Type]]="Question", K21, IF(TBL_008_Qs_Lot_1[[#This Row],[Sub_No]]="N/A", "", CONCATENATE(TBL_008_Qs_Lot_1[[#This Row],[Q_No]], TBL_008_Qs_Lot_1[[#This Row],[Sub_No]])))</f>
        <v>Q6.2.6</v>
      </c>
      <c r="B20" s="393" t="s">
        <v>398</v>
      </c>
      <c r="C20" s="394"/>
      <c r="D20" s="394"/>
      <c r="E20" s="394"/>
      <c r="F20" s="395"/>
      <c r="G20" s="394" t="str">
        <f>IF(TBL_008_Qs_Lot_1[[#This Row],[Type]]="Question", IF(SQ_Weighted?="Yes", "", "N/A"), "")</f>
        <v/>
      </c>
      <c r="H20"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 s="394" t="str">
        <f t="array" ref="I2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 s="391" t="s">
        <v>779</v>
      </c>
      <c r="K20" s="394" t="s">
        <v>653</v>
      </c>
      <c r="L20" s="396" t="s">
        <v>1042</v>
      </c>
      <c r="M20" s="386" t="str">
        <f t="array" ref="M20">INDEX(TBL_003_DocMerge[PAS_or_SQ?], MATCH(1, (Job_No=TBL_003_DocMerge[Job_No])*(Doc_Lot=TBL_003_DocMerge[Lot]),0))</f>
        <v>SQ</v>
      </c>
      <c r="N20" s="397" t="str">
        <f>IF(OR('Project Info'!$B$18="Open Procedure", 'Project Info'!$B$20="SQ"), "Yes", "No")</f>
        <v>Yes</v>
      </c>
      <c r="Q20" s="44"/>
      <c r="R20" s="44"/>
    </row>
    <row r="21" spans="1:18" s="26" customFormat="1" ht="14">
      <c r="A21" s="393" t="str">
        <f>IF(TBL_008_Qs_Lot_1[[#This Row],[Type]]="Question", K22, IF(TBL_008_Qs_Lot_1[[#This Row],[Sub_No]]="N/A", "", CONCATENATE(TBL_008_Qs_Lot_1[[#This Row],[Q_No]], TBL_008_Qs_Lot_1[[#This Row],[Sub_No]])))</f>
        <v>Q6.2.7</v>
      </c>
      <c r="B21" s="393" t="s">
        <v>398</v>
      </c>
      <c r="C21" s="394"/>
      <c r="D21" s="394"/>
      <c r="E21" s="394"/>
      <c r="F21" s="395"/>
      <c r="G21" s="394" t="str">
        <f>IF(TBL_008_Qs_Lot_1[[#This Row],[Type]]="Question", IF(SQ_Weighted?="Yes", "", "N/A"), "")</f>
        <v/>
      </c>
      <c r="H21"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 s="394" t="str">
        <f t="array" ref="I2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 s="391" t="s">
        <v>779</v>
      </c>
      <c r="K21" s="394" t="s">
        <v>653</v>
      </c>
      <c r="L21" s="396" t="s">
        <v>1043</v>
      </c>
      <c r="M21" s="386" t="str">
        <f t="array" ref="M21">INDEX(TBL_003_DocMerge[PAS_or_SQ?], MATCH(1, (Job_No=TBL_003_DocMerge[Job_No])*(Doc_Lot=TBL_003_DocMerge[Lot]),0))</f>
        <v>SQ</v>
      </c>
      <c r="N21" s="397" t="str">
        <f>IF(OR('Project Info'!$B$18="Open Procedure", 'Project Info'!$B$20="SQ"), "Yes", "No")</f>
        <v>Yes</v>
      </c>
      <c r="Q21" s="44"/>
      <c r="R21" s="44"/>
    </row>
    <row r="22" spans="1:18" s="26" customFormat="1" ht="14">
      <c r="A22" s="393" t="str">
        <f>IF(TBL_008_Qs_Lot_1[[#This Row],[Type]]="Question", K23, IF(TBL_008_Qs_Lot_1[[#This Row],[Sub_No]]="N/A", "", CONCATENATE(TBL_008_Qs_Lot_1[[#This Row],[Q_No]], TBL_008_Qs_Lot_1[[#This Row],[Sub_No]])))</f>
        <v>Q6.2.8</v>
      </c>
      <c r="B22" s="393" t="s">
        <v>398</v>
      </c>
      <c r="C22" s="394"/>
      <c r="D22" s="394"/>
      <c r="E22" s="394"/>
      <c r="F22" s="395"/>
      <c r="G22" s="394" t="str">
        <f>IF(TBL_008_Qs_Lot_1[[#This Row],[Type]]="Question", IF(SQ_Weighted?="Yes", "", "N/A"), "")</f>
        <v/>
      </c>
      <c r="H22"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 s="394" t="str">
        <f t="array" ref="I2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 s="391" t="s">
        <v>779</v>
      </c>
      <c r="K22" s="394" t="s">
        <v>653</v>
      </c>
      <c r="L22" s="396" t="s">
        <v>1044</v>
      </c>
      <c r="M22" s="386" t="str">
        <f t="array" ref="M22">INDEX(TBL_003_DocMerge[PAS_or_SQ?], MATCH(1, (Job_No=TBL_003_DocMerge[Job_No])*(Doc_Lot=TBL_003_DocMerge[Lot]),0))</f>
        <v>SQ</v>
      </c>
      <c r="N22" s="397" t="str">
        <f>IF(OR('Project Info'!$B$18="Open Procedure", 'Project Info'!$B$20="SQ"), "Yes", "No")</f>
        <v>Yes</v>
      </c>
      <c r="Q22" s="44"/>
      <c r="R22" s="44"/>
    </row>
    <row r="23" spans="1:18" s="26" customFormat="1" ht="14">
      <c r="A23" s="393" t="str">
        <f>IF(TBL_008_Qs_Lot_1[[#This Row],[Type]]="Question", K24, IF(TBL_008_Qs_Lot_1[[#This Row],[Sub_No]]="N/A", "", CONCATENATE(TBL_008_Qs_Lot_1[[#This Row],[Q_No]], TBL_008_Qs_Lot_1[[#This Row],[Sub_No]])))</f>
        <v>Q6.2.9</v>
      </c>
      <c r="B23" s="393" t="s">
        <v>398</v>
      </c>
      <c r="C23" s="394"/>
      <c r="D23" s="394"/>
      <c r="E23" s="394"/>
      <c r="F23" s="395"/>
      <c r="G23" s="394" t="str">
        <f>IF(TBL_008_Qs_Lot_1[[#This Row],[Type]]="Question", IF(SQ_Weighted?="Yes", "", "N/A"), "")</f>
        <v/>
      </c>
      <c r="H23"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 s="394" t="str">
        <f t="array" ref="I2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 s="391" t="s">
        <v>779</v>
      </c>
      <c r="K23" s="394" t="s">
        <v>653</v>
      </c>
      <c r="L23" s="396" t="s">
        <v>1045</v>
      </c>
      <c r="M23" s="386" t="str">
        <f t="array" ref="M23">INDEX(TBL_003_DocMerge[PAS_or_SQ?], MATCH(1, (Job_No=TBL_003_DocMerge[Job_No])*(Doc_Lot=TBL_003_DocMerge[Lot]),0))</f>
        <v>SQ</v>
      </c>
      <c r="N23" s="397" t="str">
        <f>IF(OR('Project Info'!$B$18="Open Procedure", 'Project Info'!$B$20="SQ"), "Yes", "No")</f>
        <v>Yes</v>
      </c>
      <c r="Q23" s="44"/>
      <c r="R23" s="44"/>
    </row>
    <row r="24" spans="1:18" s="26" customFormat="1" ht="14">
      <c r="A24" s="393" t="str">
        <f>IF(TBL_008_Qs_Lot_1[[#This Row],[Type]]="Question", K25, IF(TBL_008_Qs_Lot_1[[#This Row],[Sub_No]]="N/A", "", CONCATENATE(TBL_008_Qs_Lot_1[[#This Row],[Q_No]], TBL_008_Qs_Lot_1[[#This Row],[Sub_No]])))</f>
        <v>Q6.2.10</v>
      </c>
      <c r="B24" s="393" t="s">
        <v>398</v>
      </c>
      <c r="C24" s="394"/>
      <c r="D24" s="394"/>
      <c r="E24" s="394"/>
      <c r="F24" s="395"/>
      <c r="G24" s="394" t="str">
        <f>IF(TBL_008_Qs_Lot_1[[#This Row],[Type]]="Question", IF(SQ_Weighted?="Yes", "", "N/A"), "")</f>
        <v/>
      </c>
      <c r="H24" s="394"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 s="394" t="str">
        <f t="array" ref="I2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 s="391" t="s">
        <v>779</v>
      </c>
      <c r="K24" s="394" t="s">
        <v>653</v>
      </c>
      <c r="L24" s="396" t="s">
        <v>1046</v>
      </c>
      <c r="M24" s="386" t="str">
        <f t="array" ref="M24">INDEX(TBL_003_DocMerge[PAS_or_SQ?], MATCH(1, (Job_No=TBL_003_DocMerge[Job_No])*(Doc_Lot=TBL_003_DocMerge[Lot]),0))</f>
        <v>SQ</v>
      </c>
      <c r="N24" s="397" t="str">
        <f>IF(OR('Project Info'!$B$18="Open Procedure", 'Project Info'!$B$20="SQ"), "Yes", "No")</f>
        <v>Yes</v>
      </c>
      <c r="Q24" s="44"/>
      <c r="R24" s="44"/>
    </row>
    <row r="25" spans="1:18" s="26" customFormat="1" ht="28">
      <c r="A25" s="378" t="str">
        <f>IF(TBL_008_Qs_Lot_1[[#This Row],[Type]]="Question", K26, IF(TBL_008_Qs_Lot_1[[#This Row],[Sub_No]]="N/A", "", CONCATENATE(TBL_008_Qs_Lot_1[[#This Row],[Q_No]], TBL_008_Qs_Lot_1[[#This Row],[Sub_No]])))</f>
        <v>Q6.3</v>
      </c>
      <c r="B25" s="383" t="str">
        <f t="array" ref="B25">IF(INDEX(TBL_003_DocMerge[PAS_or_SQ?], MATCH(1, (Job_No=TBL_003_DocMerge[Job_No])*(Doc_Lot=TBL_003_DocMerge[Lot]),0))="SQ", "If you cannot provide at least one example for Q6.1, in no more than 500 words, please provide examples in the past but not under a contract.", "Not used")</f>
        <v>If you cannot provide at least one example for Q6.1, in no more than 500 words, please provide examples in the past but not under a contract.</v>
      </c>
      <c r="C25" s="379"/>
      <c r="D25" s="381"/>
      <c r="E25" s="381"/>
      <c r="F25" s="382">
        <f>TBL_008_Qs_Lot_1[[#This Row],[No.subs]]*500</f>
        <v>500</v>
      </c>
      <c r="G25" s="380" t="str">
        <f>IF(TBL_008_Qs_Lot_1[[#This Row],[Type]]="Question", IF(SQ_Weighted?="Yes", "", "N/A"), "")</f>
        <v>N/A</v>
      </c>
      <c r="H25"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1</v>
      </c>
      <c r="I25" s="380">
        <f t="array" ref="I2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5</v>
      </c>
      <c r="J25" s="383" t="s">
        <v>209</v>
      </c>
      <c r="K25" s="384" t="s">
        <v>24</v>
      </c>
      <c r="L25" s="385" t="s">
        <v>24</v>
      </c>
      <c r="M25" s="386" t="str">
        <f t="array" ref="M25">INDEX(TBL_003_DocMerge[PAS_or_SQ?], MATCH(1, (Job_No=TBL_003_DocMerge[Job_No])*(Doc_Lot=TBL_003_DocMerge[Lot]),0))</f>
        <v>SQ</v>
      </c>
      <c r="N25" s="387" t="str">
        <f>IF(OR('Project Info'!$B$18="Open Procedure", 'Project Info'!$B$20="SQ"), "Yes", "No")</f>
        <v>Yes</v>
      </c>
      <c r="Q25" s="44"/>
      <c r="R25" s="44"/>
    </row>
    <row r="26" spans="1:18" s="26" customFormat="1" ht="28">
      <c r="A26" s="388" t="str">
        <f>IF(TBL_008_Qs_Lot_1[[#This Row],[Type]]="Question", K35, IF(TBL_008_Qs_Lot_1[[#This Row],[Sub_No]]="N/A", "", CONCATENATE(TBL_008_Qs_Lot_1[[#This Row],[Q_No]], TBL_008_Qs_Lot_1[[#This Row],[Sub_No]])))</f>
        <v>Q6.3.1</v>
      </c>
      <c r="B26" s="391" t="str">
        <f t="array" ref="B26">IF(INDEX(TBL_003_DocMerge[PAS_or_SQ?], MATCH(1, (Job_No=TBL_003_DocMerge[Job_No])*(Doc_Lot=TBL_003_DocMerge[Lot]),0))="SQ", CONCATENATE(P26, TBL_003_DocMerge[works_service_supplies], Q26), "Not used")</f>
        <v>Details and brief description of the services delivered including evidence as to your technical capability in this market</v>
      </c>
      <c r="C26" s="389"/>
      <c r="D26" s="389"/>
      <c r="E26" s="389"/>
      <c r="F26" s="390"/>
      <c r="G26" s="389" t="str">
        <f>IF(TBL_008_Qs_Lot_1[[#This Row],[Type]]="Question", IF(SQ_Weighted?="Yes", "", "N/A"), "")</f>
        <v/>
      </c>
      <c r="H2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 s="380" t="str">
        <f t="array" ref="I2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 s="391" t="s">
        <v>779</v>
      </c>
      <c r="K26" s="384" t="s">
        <v>654</v>
      </c>
      <c r="L26" s="392" t="s">
        <v>1037</v>
      </c>
      <c r="M26" s="386" t="str">
        <f t="array" ref="M26">INDEX(TBL_003_DocMerge[PAS_or_SQ?], MATCH(1, (Job_No=TBL_003_DocMerge[Job_No])*(Doc_Lot=TBL_003_DocMerge[Lot]),0))</f>
        <v>SQ</v>
      </c>
      <c r="N26" s="387" t="str">
        <f>IF(OR('Project Info'!$B$18="Open Procedure", 'Project Info'!$B$20="SQ"), "Yes", "No")</f>
        <v>Yes</v>
      </c>
      <c r="P26" s="44" t="s">
        <v>661</v>
      </c>
      <c r="Q26" s="44" t="s">
        <v>662</v>
      </c>
      <c r="R26" s="44"/>
    </row>
    <row r="27" spans="1:18" s="26" customFormat="1" ht="14">
      <c r="A27" s="388" t="str">
        <f>IF(TBL_008_Qs_Lot_1[[#This Row],[Type]]="Question", K36, IF(TBL_008_Qs_Lot_1[[#This Row],[Sub_No]]="N/A", "", CONCATENATE(TBL_008_Qs_Lot_1[[#This Row],[Q_No]], TBL_008_Qs_Lot_1[[#This Row],[Sub_No]])))</f>
        <v>Q6.3.2</v>
      </c>
      <c r="B27" s="393" t="s">
        <v>398</v>
      </c>
      <c r="C27" s="394"/>
      <c r="D27" s="394"/>
      <c r="E27" s="394"/>
      <c r="F27" s="395"/>
      <c r="G27" s="394" t="str">
        <f>IF(TBL_008_Qs_Lot_1[[#This Row],[Type]]="Question", IF(SQ_Weighted?="Yes", "", "N/A"), "")</f>
        <v/>
      </c>
      <c r="H27" s="394"/>
      <c r="I27" s="380" t="str">
        <f t="array" ref="I2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 s="391" t="s">
        <v>779</v>
      </c>
      <c r="K27" s="384" t="s">
        <v>654</v>
      </c>
      <c r="L27" s="392" t="s">
        <v>1041</v>
      </c>
      <c r="M27" s="386" t="str">
        <f t="array" ref="M27">INDEX(TBL_003_DocMerge[PAS_or_SQ?], MATCH(1, (Job_No=TBL_003_DocMerge[Job_No])*(Doc_Lot=TBL_003_DocMerge[Lot]),0))</f>
        <v>SQ</v>
      </c>
      <c r="N27" s="387" t="str">
        <f>IF(OR('Project Info'!$B$18="Open Procedure", 'Project Info'!$B$20="SQ"), "Yes", "No")</f>
        <v>Yes</v>
      </c>
      <c r="P27" s="44"/>
      <c r="Q27" s="44"/>
      <c r="R27" s="44"/>
    </row>
    <row r="28" spans="1:18" s="26" customFormat="1" ht="14">
      <c r="A28" s="388" t="str">
        <f>IF(TBL_008_Qs_Lot_1[[#This Row],[Type]]="Question", K37, IF(TBL_008_Qs_Lot_1[[#This Row],[Sub_No]]="N/A", "", CONCATENATE(TBL_008_Qs_Lot_1[[#This Row],[Q_No]], TBL_008_Qs_Lot_1[[#This Row],[Sub_No]])))</f>
        <v>Q6.3.3</v>
      </c>
      <c r="B28" s="393" t="s">
        <v>398</v>
      </c>
      <c r="C28" s="394"/>
      <c r="D28" s="394"/>
      <c r="E28" s="394"/>
      <c r="F28" s="395"/>
      <c r="G28" s="394" t="str">
        <f>IF(TBL_008_Qs_Lot_1[[#This Row],[Type]]="Question", IF(SQ_Weighted?="Yes", "", "N/A"), "")</f>
        <v/>
      </c>
      <c r="H28" s="394"/>
      <c r="I28" s="380" t="str">
        <f t="array" ref="I2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 s="391" t="s">
        <v>779</v>
      </c>
      <c r="K28" s="384" t="s">
        <v>654</v>
      </c>
      <c r="L28" s="392" t="s">
        <v>1038</v>
      </c>
      <c r="M28" s="386" t="str">
        <f t="array" ref="M28">INDEX(TBL_003_DocMerge[PAS_or_SQ?], MATCH(1, (Job_No=TBL_003_DocMerge[Job_No])*(Doc_Lot=TBL_003_DocMerge[Lot]),0))</f>
        <v>SQ</v>
      </c>
      <c r="N28" s="387" t="str">
        <f>IF(OR('Project Info'!$B$18="Open Procedure", 'Project Info'!$B$20="SQ"), "Yes", "No")</f>
        <v>Yes</v>
      </c>
      <c r="P28" s="44"/>
      <c r="Q28" s="44"/>
      <c r="R28" s="44"/>
    </row>
    <row r="29" spans="1:18" s="26" customFormat="1" ht="14">
      <c r="A29" s="388" t="str">
        <f>IF(TBL_008_Qs_Lot_1[[#This Row],[Type]]="Question", K38, IF(TBL_008_Qs_Lot_1[[#This Row],[Sub_No]]="N/A", "", CONCATENATE(TBL_008_Qs_Lot_1[[#This Row],[Q_No]], TBL_008_Qs_Lot_1[[#This Row],[Sub_No]])))</f>
        <v>Q6.3.4</v>
      </c>
      <c r="B29" s="393" t="s">
        <v>398</v>
      </c>
      <c r="C29" s="394"/>
      <c r="D29" s="394"/>
      <c r="E29" s="394"/>
      <c r="F29" s="395"/>
      <c r="G29" s="394" t="str">
        <f>IF(TBL_008_Qs_Lot_1[[#This Row],[Type]]="Question", IF(SQ_Weighted?="Yes", "", "N/A"), "")</f>
        <v/>
      </c>
      <c r="H29" s="394"/>
      <c r="I29" s="380" t="str">
        <f t="array" ref="I2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 s="391" t="s">
        <v>779</v>
      </c>
      <c r="K29" s="384" t="s">
        <v>654</v>
      </c>
      <c r="L29" s="392" t="s">
        <v>1039</v>
      </c>
      <c r="M29" s="386" t="str">
        <f t="array" ref="M29">INDEX(TBL_003_DocMerge[PAS_or_SQ?], MATCH(1, (Job_No=TBL_003_DocMerge[Job_No])*(Doc_Lot=TBL_003_DocMerge[Lot]),0))</f>
        <v>SQ</v>
      </c>
      <c r="N29" s="387" t="str">
        <f>IF(OR('Project Info'!$B$18="Open Procedure", 'Project Info'!$B$20="SQ"), "Yes", "No")</f>
        <v>Yes</v>
      </c>
      <c r="P29" s="44"/>
      <c r="Q29" s="44"/>
      <c r="R29" s="44"/>
    </row>
    <row r="30" spans="1:18" s="26" customFormat="1" ht="14">
      <c r="A30" s="388" t="str">
        <f>IF(TBL_008_Qs_Lot_1[[#This Row],[Type]]="Question", K39, IF(TBL_008_Qs_Lot_1[[#This Row],[Sub_No]]="N/A", "", CONCATENATE(TBL_008_Qs_Lot_1[[#This Row],[Q_No]], TBL_008_Qs_Lot_1[[#This Row],[Sub_No]])))</f>
        <v>Q6.3.5</v>
      </c>
      <c r="B30" s="393" t="s">
        <v>398</v>
      </c>
      <c r="C30" s="394"/>
      <c r="D30" s="394"/>
      <c r="E30" s="394"/>
      <c r="F30" s="395"/>
      <c r="G30" s="394" t="str">
        <f>IF(TBL_008_Qs_Lot_1[[#This Row],[Type]]="Question", IF(SQ_Weighted?="Yes", "", "N/A"), "")</f>
        <v/>
      </c>
      <c r="H30" s="394"/>
      <c r="I30" s="380" t="str">
        <f t="array" ref="I3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 s="391" t="s">
        <v>779</v>
      </c>
      <c r="K30" s="384" t="s">
        <v>654</v>
      </c>
      <c r="L30" s="392" t="s">
        <v>1040</v>
      </c>
      <c r="M30" s="386" t="str">
        <f t="array" ref="M30">INDEX(TBL_003_DocMerge[PAS_or_SQ?], MATCH(1, (Job_No=TBL_003_DocMerge[Job_No])*(Doc_Lot=TBL_003_DocMerge[Lot]),0))</f>
        <v>SQ</v>
      </c>
      <c r="N30" s="387" t="str">
        <f>IF(OR('Project Info'!$B$18="Open Procedure", 'Project Info'!$B$20="SQ"), "Yes", "No")</f>
        <v>Yes</v>
      </c>
      <c r="P30" s="44"/>
      <c r="Q30" s="44"/>
      <c r="R30" s="44"/>
    </row>
    <row r="31" spans="1:18" s="26" customFormat="1" ht="14">
      <c r="A31" s="388" t="str">
        <f>IF(TBL_008_Qs_Lot_1[[#This Row],[Type]]="Question", K40, IF(TBL_008_Qs_Lot_1[[#This Row],[Sub_No]]="N/A", "", CONCATENATE(TBL_008_Qs_Lot_1[[#This Row],[Q_No]], TBL_008_Qs_Lot_1[[#This Row],[Sub_No]])))</f>
        <v>Q6.3.6</v>
      </c>
      <c r="B31" s="393" t="s">
        <v>398</v>
      </c>
      <c r="C31" s="394"/>
      <c r="D31" s="394"/>
      <c r="E31" s="394"/>
      <c r="F31" s="395"/>
      <c r="G31" s="394" t="str">
        <f>IF(TBL_008_Qs_Lot_1[[#This Row],[Type]]="Question", IF(SQ_Weighted?="Yes", "", "N/A"), "")</f>
        <v/>
      </c>
      <c r="H31" s="394"/>
      <c r="I31" s="380" t="str">
        <f t="array" ref="I3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 s="391" t="s">
        <v>779</v>
      </c>
      <c r="K31" s="384" t="s">
        <v>654</v>
      </c>
      <c r="L31" s="392" t="s">
        <v>1042</v>
      </c>
      <c r="M31" s="386" t="str">
        <f t="array" ref="M31">INDEX(TBL_003_DocMerge[PAS_or_SQ?], MATCH(1, (Job_No=TBL_003_DocMerge[Job_No])*(Doc_Lot=TBL_003_DocMerge[Lot]),0))</f>
        <v>SQ</v>
      </c>
      <c r="N31" s="387" t="str">
        <f>IF(OR('Project Info'!$B$18="Open Procedure", 'Project Info'!$B$20="SQ"), "Yes", "No")</f>
        <v>Yes</v>
      </c>
      <c r="P31" s="44"/>
      <c r="Q31" s="44"/>
      <c r="R31" s="44"/>
    </row>
    <row r="32" spans="1:18" s="26" customFormat="1" ht="14">
      <c r="A32" s="388" t="str">
        <f>IF(TBL_008_Qs_Lot_1[[#This Row],[Type]]="Question", K41, IF(TBL_008_Qs_Lot_1[[#This Row],[Sub_No]]="N/A", "", CONCATENATE(TBL_008_Qs_Lot_1[[#This Row],[Q_No]], TBL_008_Qs_Lot_1[[#This Row],[Sub_No]])))</f>
        <v>Q6.3.7</v>
      </c>
      <c r="B32" s="393" t="s">
        <v>398</v>
      </c>
      <c r="C32" s="394"/>
      <c r="D32" s="394"/>
      <c r="E32" s="394"/>
      <c r="F32" s="395"/>
      <c r="G32" s="394" t="str">
        <f>IF(TBL_008_Qs_Lot_1[[#This Row],[Type]]="Question", IF(SQ_Weighted?="Yes", "", "N/A"), "")</f>
        <v/>
      </c>
      <c r="H32" s="394"/>
      <c r="I32" s="380" t="str">
        <f t="array" ref="I3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2" s="391" t="s">
        <v>779</v>
      </c>
      <c r="K32" s="384" t="s">
        <v>654</v>
      </c>
      <c r="L32" s="392" t="s">
        <v>1043</v>
      </c>
      <c r="M32" s="386" t="str">
        <f t="array" ref="M32">INDEX(TBL_003_DocMerge[PAS_or_SQ?], MATCH(1, (Job_No=TBL_003_DocMerge[Job_No])*(Doc_Lot=TBL_003_DocMerge[Lot]),0))</f>
        <v>SQ</v>
      </c>
      <c r="N32" s="387" t="str">
        <f>IF(OR('Project Info'!$B$18="Open Procedure", 'Project Info'!$B$20="SQ"), "Yes", "No")</f>
        <v>Yes</v>
      </c>
      <c r="P32" s="44"/>
      <c r="Q32" s="44"/>
      <c r="R32" s="44"/>
    </row>
    <row r="33" spans="1:18" s="26" customFormat="1" ht="14">
      <c r="A33" s="388" t="str">
        <f>IF(TBL_008_Qs_Lot_1[[#This Row],[Type]]="Question", K42, IF(TBL_008_Qs_Lot_1[[#This Row],[Sub_No]]="N/A", "", CONCATENATE(TBL_008_Qs_Lot_1[[#This Row],[Q_No]], TBL_008_Qs_Lot_1[[#This Row],[Sub_No]])))</f>
        <v>Q6.3.8</v>
      </c>
      <c r="B33" s="393" t="s">
        <v>398</v>
      </c>
      <c r="C33" s="394"/>
      <c r="D33" s="394"/>
      <c r="E33" s="394"/>
      <c r="F33" s="395"/>
      <c r="G33" s="394" t="str">
        <f>IF(TBL_008_Qs_Lot_1[[#This Row],[Type]]="Question", IF(SQ_Weighted?="Yes", "", "N/A"), "")</f>
        <v/>
      </c>
      <c r="H33" s="394"/>
      <c r="I33" s="380" t="str">
        <f t="array" ref="I3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3" s="391" t="s">
        <v>779</v>
      </c>
      <c r="K33" s="384" t="s">
        <v>654</v>
      </c>
      <c r="L33" s="392" t="s">
        <v>1044</v>
      </c>
      <c r="M33" s="386" t="str">
        <f t="array" ref="M33">INDEX(TBL_003_DocMerge[PAS_or_SQ?], MATCH(1, (Job_No=TBL_003_DocMerge[Job_No])*(Doc_Lot=TBL_003_DocMerge[Lot]),0))</f>
        <v>SQ</v>
      </c>
      <c r="N33" s="387" t="str">
        <f>IF(OR('Project Info'!$B$18="Open Procedure", 'Project Info'!$B$20="SQ"), "Yes", "No")</f>
        <v>Yes</v>
      </c>
      <c r="P33" s="44"/>
      <c r="Q33" s="44"/>
      <c r="R33" s="44"/>
    </row>
    <row r="34" spans="1:18" s="26" customFormat="1" ht="14">
      <c r="A34" s="388" t="str">
        <f>IF(TBL_008_Qs_Lot_1[[#This Row],[Type]]="Question", K43, IF(TBL_008_Qs_Lot_1[[#This Row],[Sub_No]]="N/A", "", CONCATENATE(TBL_008_Qs_Lot_1[[#This Row],[Q_No]], TBL_008_Qs_Lot_1[[#This Row],[Sub_No]])))</f>
        <v>Q6.3.9</v>
      </c>
      <c r="B34" s="393" t="s">
        <v>398</v>
      </c>
      <c r="C34" s="394"/>
      <c r="D34" s="394"/>
      <c r="E34" s="394"/>
      <c r="F34" s="395"/>
      <c r="G34" s="394" t="str">
        <f>IF(TBL_008_Qs_Lot_1[[#This Row],[Type]]="Question", IF(SQ_Weighted?="Yes", "", "N/A"), "")</f>
        <v/>
      </c>
      <c r="H34" s="394"/>
      <c r="I34" s="380" t="str">
        <f t="array" ref="I3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4" s="391" t="s">
        <v>779</v>
      </c>
      <c r="K34" s="384" t="s">
        <v>654</v>
      </c>
      <c r="L34" s="392" t="s">
        <v>1045</v>
      </c>
      <c r="M34" s="386" t="str">
        <f t="array" ref="M34">INDEX(TBL_003_DocMerge[PAS_or_SQ?], MATCH(1, (Job_No=TBL_003_DocMerge[Job_No])*(Doc_Lot=TBL_003_DocMerge[Lot]),0))</f>
        <v>SQ</v>
      </c>
      <c r="N34" s="387" t="str">
        <f>IF(OR('Project Info'!$B$18="Open Procedure", 'Project Info'!$B$20="SQ"), "Yes", "No")</f>
        <v>Yes</v>
      </c>
      <c r="P34" s="44"/>
      <c r="Q34" s="44"/>
      <c r="R34" s="44"/>
    </row>
    <row r="35" spans="1:18" s="26" customFormat="1" ht="14">
      <c r="A35" s="388" t="str">
        <f>IF(TBL_008_Qs_Lot_1[[#This Row],[Type]]="Question", K44, IF(TBL_008_Qs_Lot_1[[#This Row],[Sub_No]]="N/A", "", CONCATENATE(TBL_008_Qs_Lot_1[[#This Row],[Q_No]], TBL_008_Qs_Lot_1[[#This Row],[Sub_No]])))</f>
        <v>Q6.3.10</v>
      </c>
      <c r="B35" s="393" t="s">
        <v>398</v>
      </c>
      <c r="C35" s="394"/>
      <c r="D35" s="394"/>
      <c r="E35" s="394"/>
      <c r="F35" s="395"/>
      <c r="G35" s="394" t="str">
        <f>IF(TBL_008_Qs_Lot_1[[#This Row],[Type]]="Question", IF(SQ_Weighted?="Yes", "", "N/A"), "")</f>
        <v/>
      </c>
      <c r="H35" s="394"/>
      <c r="I35" s="380" t="str">
        <f t="array" ref="I3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5" s="391" t="s">
        <v>779</v>
      </c>
      <c r="K35" s="384" t="s">
        <v>654</v>
      </c>
      <c r="L35" s="392" t="s">
        <v>1046</v>
      </c>
      <c r="M35" s="386" t="str">
        <f t="array" ref="M35">INDEX(TBL_003_DocMerge[PAS_or_SQ?], MATCH(1, (Job_No=TBL_003_DocMerge[Job_No])*(Doc_Lot=TBL_003_DocMerge[Lot]),0))</f>
        <v>SQ</v>
      </c>
      <c r="N35" s="387" t="str">
        <f>IF(OR('Project Info'!$B$18="Open Procedure", 'Project Info'!$B$20="SQ"), "Yes", "No")</f>
        <v>Yes</v>
      </c>
      <c r="P35" s="44"/>
      <c r="Q35" s="44"/>
      <c r="R35" s="44"/>
    </row>
    <row r="36" spans="1:18" ht="14">
      <c r="A36" s="378" t="str">
        <f>IF(TBL_008_Qs_Lot_1[[#This Row],[Type]]="Question", K37, IF(TBL_008_Qs_Lot_1[[#This Row],[Sub_No]]="N/A", "", CONCATENATE(TBL_008_Qs_Lot_1[[#This Row],[Q_No]], TBL_008_Qs_Lot_1[[#This Row],[Sub_No]])))</f>
        <v>Q6.4</v>
      </c>
      <c r="B36" s="378" t="s">
        <v>398</v>
      </c>
      <c r="C36" s="398"/>
      <c r="D36" s="380"/>
      <c r="E36" s="398"/>
      <c r="F36" s="382">
        <f>TBL_008_Qs_Lot_1[[#This Row],[No.subs]]*500</f>
        <v>0</v>
      </c>
      <c r="G36" s="380" t="str">
        <f>IF(TBL_008_Qs_Lot_1[[#This Row],[Type]]="Question", IF(SQ_Weighted?="Yes", "", "N/A"), "")</f>
        <v>N/A</v>
      </c>
      <c r="H36"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36" s="380">
        <f t="array" ref="I3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36" s="383" t="s">
        <v>209</v>
      </c>
      <c r="K36" s="384" t="s">
        <v>24</v>
      </c>
      <c r="L36" s="385" t="s">
        <v>24</v>
      </c>
      <c r="M36" s="386" t="str">
        <f t="array" ref="M36">INDEX(TBL_003_DocMerge[PAS_or_SQ?], MATCH(1, (Job_No=TBL_003_DocMerge[Job_No])*(Doc_Lot=TBL_003_DocMerge[Lot]),0))</f>
        <v>SQ</v>
      </c>
      <c r="N36" s="387" t="str">
        <f>IF(OR('Project Info'!$B$18="Open Procedure", 'Project Info'!$B$20="SQ"), "Yes", "No")</f>
        <v>Yes</v>
      </c>
    </row>
    <row r="37" spans="1:18" ht="14">
      <c r="A37" s="388" t="str">
        <f>IF(TBL_008_Qs_Lot_1[[#This Row],[Type]]="Question", K38, IF(TBL_008_Qs_Lot_1[[#This Row],[Sub_No]]="N/A", "", CONCATENATE(TBL_008_Qs_Lot_1[[#This Row],[Q_No]], TBL_008_Qs_Lot_1[[#This Row],[Sub_No]])))</f>
        <v>Q6.4.1</v>
      </c>
      <c r="B37" s="393" t="s">
        <v>398</v>
      </c>
      <c r="C37" s="394"/>
      <c r="D37" s="399"/>
      <c r="E37" s="399"/>
      <c r="F37" s="400"/>
      <c r="G37" s="399" t="str">
        <f>IF(TBL_008_Qs_Lot_1[[#This Row],[Type]]="Question", IF(SQ_Weighted?="Yes", "", "N/A"), "")</f>
        <v/>
      </c>
      <c r="H3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7" s="380" t="str">
        <f t="array" ref="I3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7" s="391" t="s">
        <v>779</v>
      </c>
      <c r="K37" s="384" t="s">
        <v>399</v>
      </c>
      <c r="L37" s="392" t="s">
        <v>1037</v>
      </c>
      <c r="M37" s="386" t="str">
        <f t="array" ref="M37">INDEX(TBL_003_DocMerge[PAS_or_SQ?], MATCH(1, (Job_No=TBL_003_DocMerge[Job_No])*(Doc_Lot=TBL_003_DocMerge[Lot]),0))</f>
        <v>SQ</v>
      </c>
      <c r="N37" s="387" t="str">
        <f>IF(OR('Project Info'!$B$18="Open Procedure", 'Project Info'!$B$20="SQ"), "Yes", "No")</f>
        <v>Yes</v>
      </c>
    </row>
    <row r="38" spans="1:18" ht="14">
      <c r="A38" s="388" t="str">
        <f>IF(TBL_008_Qs_Lot_1[[#This Row],[Type]]="Question", K39, IF(TBL_008_Qs_Lot_1[[#This Row],[Sub_No]]="N/A", "", CONCATENATE(TBL_008_Qs_Lot_1[[#This Row],[Q_No]], TBL_008_Qs_Lot_1[[#This Row],[Sub_No]])))</f>
        <v>Q6.4.2</v>
      </c>
      <c r="B38" s="423" t="s">
        <v>398</v>
      </c>
      <c r="C38" s="394"/>
      <c r="D38" s="399"/>
      <c r="E38" s="399"/>
      <c r="F38" s="400"/>
      <c r="G38" s="399" t="str">
        <f>IF(TBL_008_Qs_Lot_1[[#This Row],[Type]]="Question", IF(SQ_Weighted?="Yes", "", "N/A"), "")</f>
        <v/>
      </c>
      <c r="H3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8" s="380" t="str">
        <f t="array" ref="I3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8" s="391" t="s">
        <v>779</v>
      </c>
      <c r="K38" s="384" t="s">
        <v>399</v>
      </c>
      <c r="L38" s="392" t="s">
        <v>1041</v>
      </c>
      <c r="M38" s="386" t="str">
        <f t="array" ref="M38">INDEX(TBL_003_DocMerge[PAS_or_SQ?], MATCH(1, (Job_No=TBL_003_DocMerge[Job_No])*(Doc_Lot=TBL_003_DocMerge[Lot]),0))</f>
        <v>SQ</v>
      </c>
      <c r="N38" s="387" t="str">
        <f>IF(OR('Project Info'!$B$18="Open Procedure", 'Project Info'!$B$20="SQ"), "Yes", "No")</f>
        <v>Yes</v>
      </c>
    </row>
    <row r="39" spans="1:18" ht="14">
      <c r="A39" s="388" t="str">
        <f>IF(TBL_008_Qs_Lot_1[[#This Row],[Type]]="Question", K40, IF(TBL_008_Qs_Lot_1[[#This Row],[Sub_No]]="N/A", "", CONCATENATE(TBL_008_Qs_Lot_1[[#This Row],[Q_No]], TBL_008_Qs_Lot_1[[#This Row],[Sub_No]])))</f>
        <v>Q6.4.3</v>
      </c>
      <c r="B39" s="423" t="s">
        <v>398</v>
      </c>
      <c r="C39" s="394"/>
      <c r="D39" s="399"/>
      <c r="E39" s="399"/>
      <c r="F39" s="400"/>
      <c r="G39" s="399" t="str">
        <f>IF(TBL_008_Qs_Lot_1[[#This Row],[Type]]="Question", IF(SQ_Weighted?="Yes", "", "N/A"), "")</f>
        <v/>
      </c>
      <c r="H3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9" s="380" t="str">
        <f t="array" ref="I3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9" s="391" t="s">
        <v>779</v>
      </c>
      <c r="K39" s="384" t="s">
        <v>399</v>
      </c>
      <c r="L39" s="392" t="s">
        <v>1038</v>
      </c>
      <c r="M39" s="386" t="str">
        <f t="array" ref="M39">INDEX(TBL_003_DocMerge[PAS_or_SQ?], MATCH(1, (Job_No=TBL_003_DocMerge[Job_No])*(Doc_Lot=TBL_003_DocMerge[Lot]),0))</f>
        <v>SQ</v>
      </c>
      <c r="N39" s="387" t="str">
        <f>IF(OR('Project Info'!$B$18="Open Procedure", 'Project Info'!$B$20="SQ"), "Yes", "No")</f>
        <v>Yes</v>
      </c>
    </row>
    <row r="40" spans="1:18" ht="14">
      <c r="A40" s="388" t="str">
        <f>IF(TBL_008_Qs_Lot_1[[#This Row],[Type]]="Question", K41, IF(TBL_008_Qs_Lot_1[[#This Row],[Sub_No]]="N/A", "", CONCATENATE(TBL_008_Qs_Lot_1[[#This Row],[Q_No]], TBL_008_Qs_Lot_1[[#This Row],[Sub_No]])))</f>
        <v>Q6.4.4</v>
      </c>
      <c r="B40" s="423" t="s">
        <v>398</v>
      </c>
      <c r="C40" s="394"/>
      <c r="D40" s="399"/>
      <c r="E40" s="399"/>
      <c r="F40" s="400"/>
      <c r="G40" s="399" t="str">
        <f>IF(TBL_008_Qs_Lot_1[[#This Row],[Type]]="Question", IF(SQ_Weighted?="Yes", "", "N/A"), "")</f>
        <v/>
      </c>
      <c r="H4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0" s="380" t="str">
        <f t="array" ref="I4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0" s="391" t="s">
        <v>779</v>
      </c>
      <c r="K40" s="384" t="s">
        <v>399</v>
      </c>
      <c r="L40" s="392" t="s">
        <v>1039</v>
      </c>
      <c r="M40" s="386" t="str">
        <f t="array" ref="M40">INDEX(TBL_003_DocMerge[PAS_or_SQ?], MATCH(1, (Job_No=TBL_003_DocMerge[Job_No])*(Doc_Lot=TBL_003_DocMerge[Lot]),0))</f>
        <v>SQ</v>
      </c>
      <c r="N40" s="387" t="str">
        <f>IF(OR('Project Info'!$B$18="Open Procedure", 'Project Info'!$B$20="SQ"), "Yes", "No")</f>
        <v>Yes</v>
      </c>
    </row>
    <row r="41" spans="1:18" ht="14">
      <c r="A41" s="388" t="str">
        <f>IF(TBL_008_Qs_Lot_1[[#This Row],[Type]]="Question", K42, IF(TBL_008_Qs_Lot_1[[#This Row],[Sub_No]]="N/A", "", CONCATENATE(TBL_008_Qs_Lot_1[[#This Row],[Q_No]], TBL_008_Qs_Lot_1[[#This Row],[Sub_No]])))</f>
        <v>Q6.4.5</v>
      </c>
      <c r="B41" s="388" t="s">
        <v>398</v>
      </c>
      <c r="C41" s="394"/>
      <c r="D41" s="399"/>
      <c r="E41" s="399"/>
      <c r="F41" s="400"/>
      <c r="G41" s="399" t="str">
        <f>IF(TBL_008_Qs_Lot_1[[#This Row],[Type]]="Question", IF(SQ_Weighted?="Yes", "", "N/A"), "")</f>
        <v/>
      </c>
      <c r="H4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1" s="380" t="str">
        <f t="array" ref="I4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1" s="391" t="s">
        <v>779</v>
      </c>
      <c r="K41" s="384" t="s">
        <v>399</v>
      </c>
      <c r="L41" s="392" t="s">
        <v>1040</v>
      </c>
      <c r="M41" s="386" t="str">
        <f t="array" ref="M41">INDEX(TBL_003_DocMerge[PAS_or_SQ?], MATCH(1, (Job_No=TBL_003_DocMerge[Job_No])*(Doc_Lot=TBL_003_DocMerge[Lot]),0))</f>
        <v>SQ</v>
      </c>
      <c r="N41" s="387" t="str">
        <f>IF(OR('Project Info'!$B$18="Open Procedure", 'Project Info'!$B$20="SQ"), "Yes", "No")</f>
        <v>Yes</v>
      </c>
    </row>
    <row r="42" spans="1:18" ht="14">
      <c r="A42" s="388" t="str">
        <f>IF(TBL_008_Qs_Lot_1[[#This Row],[Type]]="Question", K43, IF(TBL_008_Qs_Lot_1[[#This Row],[Sub_No]]="N/A", "", CONCATENATE(TBL_008_Qs_Lot_1[[#This Row],[Q_No]], TBL_008_Qs_Lot_1[[#This Row],[Sub_No]])))</f>
        <v>Q6.4.6</v>
      </c>
      <c r="B42" s="388" t="s">
        <v>398</v>
      </c>
      <c r="C42" s="394"/>
      <c r="D42" s="399"/>
      <c r="E42" s="399"/>
      <c r="F42" s="400"/>
      <c r="G42" s="399" t="str">
        <f>IF(TBL_008_Qs_Lot_1[[#This Row],[Type]]="Question", IF(SQ_Weighted?="Yes", "", "N/A"), "")</f>
        <v/>
      </c>
      <c r="H4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2" s="380" t="str">
        <f t="array" ref="I4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2" s="391" t="s">
        <v>779</v>
      </c>
      <c r="K42" s="384" t="s">
        <v>399</v>
      </c>
      <c r="L42" s="392" t="s">
        <v>1042</v>
      </c>
      <c r="M42" s="386" t="str">
        <f t="array" ref="M42">INDEX(TBL_003_DocMerge[PAS_or_SQ?], MATCH(1, (Job_No=TBL_003_DocMerge[Job_No])*(Doc_Lot=TBL_003_DocMerge[Lot]),0))</f>
        <v>SQ</v>
      </c>
      <c r="N42" s="387" t="str">
        <f>IF(OR('Project Info'!$B$18="Open Procedure", 'Project Info'!$B$20="SQ"), "Yes", "No")</f>
        <v>Yes</v>
      </c>
    </row>
    <row r="43" spans="1:18" ht="14">
      <c r="A43" s="388" t="str">
        <f>IF(TBL_008_Qs_Lot_1[[#This Row],[Type]]="Question", K44, IF(TBL_008_Qs_Lot_1[[#This Row],[Sub_No]]="N/A", "", CONCATENATE(TBL_008_Qs_Lot_1[[#This Row],[Q_No]], TBL_008_Qs_Lot_1[[#This Row],[Sub_No]])))</f>
        <v>Q6.4.7</v>
      </c>
      <c r="B43" s="388" t="s">
        <v>398</v>
      </c>
      <c r="C43" s="394"/>
      <c r="D43" s="399"/>
      <c r="E43" s="399"/>
      <c r="F43" s="400"/>
      <c r="G43" s="399" t="str">
        <f>IF(TBL_008_Qs_Lot_1[[#This Row],[Type]]="Question", IF(SQ_Weighted?="Yes", "", "N/A"), "")</f>
        <v/>
      </c>
      <c r="H4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3" s="380" t="str">
        <f t="array" ref="I4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3" s="391" t="s">
        <v>779</v>
      </c>
      <c r="K43" s="384" t="s">
        <v>399</v>
      </c>
      <c r="L43" s="392" t="s">
        <v>1043</v>
      </c>
      <c r="M43" s="386" t="str">
        <f t="array" ref="M43">INDEX(TBL_003_DocMerge[PAS_or_SQ?], MATCH(1, (Job_No=TBL_003_DocMerge[Job_No])*(Doc_Lot=TBL_003_DocMerge[Lot]),0))</f>
        <v>SQ</v>
      </c>
      <c r="N43" s="387" t="str">
        <f>IF(OR('Project Info'!$B$18="Open Procedure", 'Project Info'!$B$20="SQ"), "Yes", "No")</f>
        <v>Yes</v>
      </c>
    </row>
    <row r="44" spans="1:18" ht="14">
      <c r="A44" s="388" t="str">
        <f>IF(TBL_008_Qs_Lot_1[[#This Row],[Type]]="Question", K45, IF(TBL_008_Qs_Lot_1[[#This Row],[Sub_No]]="N/A", "", CONCATENATE(TBL_008_Qs_Lot_1[[#This Row],[Q_No]], TBL_008_Qs_Lot_1[[#This Row],[Sub_No]])))</f>
        <v>Q6.4.8</v>
      </c>
      <c r="B44" s="388" t="s">
        <v>398</v>
      </c>
      <c r="C44" s="394"/>
      <c r="D44" s="399"/>
      <c r="E44" s="399"/>
      <c r="F44" s="400"/>
      <c r="G44" s="399" t="str">
        <f>IF(TBL_008_Qs_Lot_1[[#This Row],[Type]]="Question", IF(SQ_Weighted?="Yes", "", "N/A"), "")</f>
        <v/>
      </c>
      <c r="H4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4" s="380" t="str">
        <f t="array" ref="I4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4" s="391" t="s">
        <v>779</v>
      </c>
      <c r="K44" s="384" t="s">
        <v>399</v>
      </c>
      <c r="L44" s="392" t="s">
        <v>1044</v>
      </c>
      <c r="M44" s="386" t="str">
        <f t="array" ref="M44">INDEX(TBL_003_DocMerge[PAS_or_SQ?], MATCH(1, (Job_No=TBL_003_DocMerge[Job_No])*(Doc_Lot=TBL_003_DocMerge[Lot]),0))</f>
        <v>SQ</v>
      </c>
      <c r="N44" s="387" t="str">
        <f>IF(OR('Project Info'!$B$18="Open Procedure", 'Project Info'!$B$20="SQ"), "Yes", "No")</f>
        <v>Yes</v>
      </c>
    </row>
    <row r="45" spans="1:18" ht="14">
      <c r="A45" s="388" t="str">
        <f>IF(TBL_008_Qs_Lot_1[[#This Row],[Type]]="Question", K46, IF(TBL_008_Qs_Lot_1[[#This Row],[Sub_No]]="N/A", "", CONCATENATE(TBL_008_Qs_Lot_1[[#This Row],[Q_No]], TBL_008_Qs_Lot_1[[#This Row],[Sub_No]])))</f>
        <v>Q6.4.9</v>
      </c>
      <c r="B45" s="388" t="s">
        <v>398</v>
      </c>
      <c r="C45" s="394"/>
      <c r="D45" s="399"/>
      <c r="E45" s="399"/>
      <c r="F45" s="400"/>
      <c r="G45" s="399" t="str">
        <f>IF(TBL_008_Qs_Lot_1[[#This Row],[Type]]="Question", IF(SQ_Weighted?="Yes", "", "N/A"), "")</f>
        <v/>
      </c>
      <c r="H4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5" s="380" t="str">
        <f t="array" ref="I4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5" s="391" t="s">
        <v>779</v>
      </c>
      <c r="K45" s="384" t="s">
        <v>399</v>
      </c>
      <c r="L45" s="392" t="s">
        <v>1045</v>
      </c>
      <c r="M45" s="386" t="str">
        <f t="array" ref="M45">INDEX(TBL_003_DocMerge[PAS_or_SQ?], MATCH(1, (Job_No=TBL_003_DocMerge[Job_No])*(Doc_Lot=TBL_003_DocMerge[Lot]),0))</f>
        <v>SQ</v>
      </c>
      <c r="N45" s="387" t="str">
        <f>IF(OR('Project Info'!$B$18="Open Procedure", 'Project Info'!$B$20="SQ"), "Yes", "No")</f>
        <v>Yes</v>
      </c>
    </row>
    <row r="46" spans="1:18" ht="14">
      <c r="A46" s="388" t="str">
        <f>IF(TBL_008_Qs_Lot_1[[#This Row],[Type]]="Question", K47, IF(TBL_008_Qs_Lot_1[[#This Row],[Sub_No]]="N/A", "", CONCATENATE(TBL_008_Qs_Lot_1[[#This Row],[Q_No]], TBL_008_Qs_Lot_1[[#This Row],[Sub_No]])))</f>
        <v>Q6.4.10</v>
      </c>
      <c r="B46" s="388" t="s">
        <v>398</v>
      </c>
      <c r="C46" s="394"/>
      <c r="D46" s="399"/>
      <c r="E46" s="399"/>
      <c r="F46" s="400"/>
      <c r="G46" s="399" t="str">
        <f>IF(TBL_008_Qs_Lot_1[[#This Row],[Type]]="Question", IF(SQ_Weighted?="Yes", "", "N/A"), "")</f>
        <v/>
      </c>
      <c r="H4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6" s="380" t="str">
        <f t="array" ref="I4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6" s="391" t="s">
        <v>779</v>
      </c>
      <c r="K46" s="384" t="s">
        <v>399</v>
      </c>
      <c r="L46" s="392" t="s">
        <v>1046</v>
      </c>
      <c r="M46" s="386" t="str">
        <f t="array" ref="M46">INDEX(TBL_003_DocMerge[PAS_or_SQ?], MATCH(1, (Job_No=TBL_003_DocMerge[Job_No])*(Doc_Lot=TBL_003_DocMerge[Lot]),0))</f>
        <v>SQ</v>
      </c>
      <c r="N46" s="387" t="str">
        <f>IF(OR('Project Info'!$B$18="Open Procedure", 'Project Info'!$B$20="SQ"), "Yes", "No")</f>
        <v>Yes</v>
      </c>
    </row>
    <row r="47" spans="1:18" ht="14">
      <c r="A47" s="378" t="str">
        <f>IF(TBL_008_Qs_Lot_1[[#This Row],[Type]]="Question", K48, IF(TBL_008_Qs_Lot_1[[#This Row],[Sub_No]]="N/A", "", CONCATENATE(TBL_008_Qs_Lot_1[[#This Row],[Q_No]], TBL_008_Qs_Lot_1[[#This Row],[Sub_No]])))</f>
        <v>Q6.5</v>
      </c>
      <c r="B47" s="378" t="s">
        <v>398</v>
      </c>
      <c r="C47" s="398"/>
      <c r="D47" s="380"/>
      <c r="E47" s="398"/>
      <c r="F47" s="382">
        <f>TBL_008_Qs_Lot_1[[#This Row],[No.subs]]*500</f>
        <v>0</v>
      </c>
      <c r="G47" s="380" t="str">
        <f>IF(TBL_008_Qs_Lot_1[[#This Row],[Type]]="Question", IF(SQ_Weighted?="Yes", "", "N/A"), "")</f>
        <v>N/A</v>
      </c>
      <c r="H47"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47" s="380">
        <f t="array" ref="I4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47" s="383" t="s">
        <v>209</v>
      </c>
      <c r="K47" s="384" t="s">
        <v>24</v>
      </c>
      <c r="L47" s="385" t="s">
        <v>24</v>
      </c>
      <c r="M47" s="386" t="str">
        <f t="array" ref="M47">INDEX(TBL_003_DocMerge[PAS_or_SQ?], MATCH(1, (Job_No=TBL_003_DocMerge[Job_No])*(Doc_Lot=TBL_003_DocMerge[Lot]),0))</f>
        <v>SQ</v>
      </c>
      <c r="N47" s="387" t="str">
        <f>IF(OR('Project Info'!$B$18="Open Procedure", 'Project Info'!$B$20="SQ"), "Yes", "No")</f>
        <v>Yes</v>
      </c>
    </row>
    <row r="48" spans="1:18" ht="14">
      <c r="A48" s="388" t="str">
        <f>IF(TBL_008_Qs_Lot_1[[#This Row],[Type]]="Question", K49, IF(TBL_008_Qs_Lot_1[[#This Row],[Sub_No]]="N/A", "", CONCATENATE(TBL_008_Qs_Lot_1[[#This Row],[Q_No]], TBL_008_Qs_Lot_1[[#This Row],[Sub_No]])))</f>
        <v>Q6.5.1</v>
      </c>
      <c r="B48" s="388" t="s">
        <v>398</v>
      </c>
      <c r="C48" s="394"/>
      <c r="D48" s="399"/>
      <c r="E48" s="399"/>
      <c r="F48" s="400"/>
      <c r="G48" s="399" t="str">
        <f>IF(TBL_008_Qs_Lot_1[[#This Row],[Type]]="Question", IF(SQ_Weighted?="Yes", "", "N/A"), "")</f>
        <v/>
      </c>
      <c r="H4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8" s="380" t="str">
        <f t="array" ref="I4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8" s="391" t="s">
        <v>779</v>
      </c>
      <c r="K48" s="384" t="s">
        <v>410</v>
      </c>
      <c r="L48" s="392" t="s">
        <v>1037</v>
      </c>
      <c r="M48" s="386" t="str">
        <f t="array" ref="M48">INDEX(TBL_003_DocMerge[PAS_or_SQ?], MATCH(1, (Job_No=TBL_003_DocMerge[Job_No])*(Doc_Lot=TBL_003_DocMerge[Lot]),0))</f>
        <v>SQ</v>
      </c>
      <c r="N48" s="387" t="str">
        <f>IF(OR('Project Info'!$B$18="Open Procedure", 'Project Info'!$B$20="SQ"), "Yes", "No")</f>
        <v>Yes</v>
      </c>
    </row>
    <row r="49" spans="1:14" ht="14">
      <c r="A49" s="388" t="str">
        <f>IF(TBL_008_Qs_Lot_1[[#This Row],[Type]]="Question", K50, IF(TBL_008_Qs_Lot_1[[#This Row],[Sub_No]]="N/A", "", CONCATENATE(TBL_008_Qs_Lot_1[[#This Row],[Q_No]], TBL_008_Qs_Lot_1[[#This Row],[Sub_No]])))</f>
        <v>Q6.5.2</v>
      </c>
      <c r="B49" s="388" t="s">
        <v>398</v>
      </c>
      <c r="C49" s="394"/>
      <c r="D49" s="399"/>
      <c r="E49" s="399"/>
      <c r="F49" s="400"/>
      <c r="G49" s="399" t="str">
        <f>IF(TBL_008_Qs_Lot_1[[#This Row],[Type]]="Question", IF(SQ_Weighted?="Yes", "", "N/A"), "")</f>
        <v/>
      </c>
      <c r="H4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49" s="380" t="str">
        <f t="array" ref="I4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49" s="391" t="s">
        <v>779</v>
      </c>
      <c r="K49" s="384" t="s">
        <v>410</v>
      </c>
      <c r="L49" s="392" t="s">
        <v>1041</v>
      </c>
      <c r="M49" s="386" t="str">
        <f t="array" ref="M49">INDEX(TBL_003_DocMerge[PAS_or_SQ?], MATCH(1, (Job_No=TBL_003_DocMerge[Job_No])*(Doc_Lot=TBL_003_DocMerge[Lot]),0))</f>
        <v>SQ</v>
      </c>
      <c r="N49" s="387" t="str">
        <f>IF(OR('Project Info'!$B$18="Open Procedure", 'Project Info'!$B$20="SQ"), "Yes", "No")</f>
        <v>Yes</v>
      </c>
    </row>
    <row r="50" spans="1:14" ht="14">
      <c r="A50" s="388" t="str">
        <f>IF(TBL_008_Qs_Lot_1[[#This Row],[Type]]="Question", K51, IF(TBL_008_Qs_Lot_1[[#This Row],[Sub_No]]="N/A", "", CONCATENATE(TBL_008_Qs_Lot_1[[#This Row],[Q_No]], TBL_008_Qs_Lot_1[[#This Row],[Sub_No]])))</f>
        <v>Q6.5.3</v>
      </c>
      <c r="B50" s="388" t="s">
        <v>398</v>
      </c>
      <c r="C50" s="394"/>
      <c r="D50" s="399"/>
      <c r="E50" s="399"/>
      <c r="F50" s="400"/>
      <c r="G50" s="399" t="str">
        <f>IF(TBL_008_Qs_Lot_1[[#This Row],[Type]]="Question", IF(SQ_Weighted?="Yes", "", "N/A"), "")</f>
        <v/>
      </c>
      <c r="H5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0" s="380" t="str">
        <f t="array" ref="I5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0" s="391" t="s">
        <v>779</v>
      </c>
      <c r="K50" s="384" t="s">
        <v>410</v>
      </c>
      <c r="L50" s="392" t="s">
        <v>1038</v>
      </c>
      <c r="M50" s="386" t="str">
        <f t="array" ref="M50">INDEX(TBL_003_DocMerge[PAS_or_SQ?], MATCH(1, (Job_No=TBL_003_DocMerge[Job_No])*(Doc_Lot=TBL_003_DocMerge[Lot]),0))</f>
        <v>SQ</v>
      </c>
      <c r="N50" s="387" t="str">
        <f>IF(OR('Project Info'!$B$18="Open Procedure", 'Project Info'!$B$20="SQ"), "Yes", "No")</f>
        <v>Yes</v>
      </c>
    </row>
    <row r="51" spans="1:14" ht="14">
      <c r="A51" s="388" t="str">
        <f>IF(TBL_008_Qs_Lot_1[[#This Row],[Type]]="Question", K52, IF(TBL_008_Qs_Lot_1[[#This Row],[Sub_No]]="N/A", "", CONCATENATE(TBL_008_Qs_Lot_1[[#This Row],[Q_No]], TBL_008_Qs_Lot_1[[#This Row],[Sub_No]])))</f>
        <v>Q6.5.4</v>
      </c>
      <c r="B51" s="388" t="s">
        <v>398</v>
      </c>
      <c r="C51" s="394"/>
      <c r="D51" s="399"/>
      <c r="E51" s="399"/>
      <c r="F51" s="400"/>
      <c r="G51" s="399" t="str">
        <f>IF(TBL_008_Qs_Lot_1[[#This Row],[Type]]="Question", IF(SQ_Weighted?="Yes", "", "N/A"), "")</f>
        <v/>
      </c>
      <c r="H5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1" s="380" t="str">
        <f t="array" ref="I5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1" s="391" t="s">
        <v>779</v>
      </c>
      <c r="K51" s="384" t="s">
        <v>410</v>
      </c>
      <c r="L51" s="392" t="s">
        <v>1039</v>
      </c>
      <c r="M51" s="386" t="str">
        <f t="array" ref="M51">INDEX(TBL_003_DocMerge[PAS_or_SQ?], MATCH(1, (Job_No=TBL_003_DocMerge[Job_No])*(Doc_Lot=TBL_003_DocMerge[Lot]),0))</f>
        <v>SQ</v>
      </c>
      <c r="N51" s="387" t="str">
        <f>IF(OR('Project Info'!$B$18="Open Procedure", 'Project Info'!$B$20="SQ"), "Yes", "No")</f>
        <v>Yes</v>
      </c>
    </row>
    <row r="52" spans="1:14" ht="14">
      <c r="A52" s="388" t="str">
        <f>IF(TBL_008_Qs_Lot_1[[#This Row],[Type]]="Question", K53, IF(TBL_008_Qs_Lot_1[[#This Row],[Sub_No]]="N/A", "", CONCATENATE(TBL_008_Qs_Lot_1[[#This Row],[Q_No]], TBL_008_Qs_Lot_1[[#This Row],[Sub_No]])))</f>
        <v>Q6.5.5</v>
      </c>
      <c r="B52" s="388" t="s">
        <v>398</v>
      </c>
      <c r="C52" s="394"/>
      <c r="D52" s="399"/>
      <c r="E52" s="399"/>
      <c r="F52" s="400"/>
      <c r="G52" s="399" t="str">
        <f>IF(TBL_008_Qs_Lot_1[[#This Row],[Type]]="Question", IF(SQ_Weighted?="Yes", "", "N/A"), "")</f>
        <v/>
      </c>
      <c r="H5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2" s="380" t="str">
        <f t="array" ref="I5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2" s="391" t="s">
        <v>779</v>
      </c>
      <c r="K52" s="384" t="s">
        <v>410</v>
      </c>
      <c r="L52" s="392" t="s">
        <v>1040</v>
      </c>
      <c r="M52" s="386" t="str">
        <f t="array" ref="M52">INDEX(TBL_003_DocMerge[PAS_or_SQ?], MATCH(1, (Job_No=TBL_003_DocMerge[Job_No])*(Doc_Lot=TBL_003_DocMerge[Lot]),0))</f>
        <v>SQ</v>
      </c>
      <c r="N52" s="387" t="str">
        <f>IF(OR('Project Info'!$B$18="Open Procedure", 'Project Info'!$B$20="SQ"), "Yes", "No")</f>
        <v>Yes</v>
      </c>
    </row>
    <row r="53" spans="1:14" ht="14">
      <c r="A53" s="388" t="str">
        <f>IF(TBL_008_Qs_Lot_1[[#This Row],[Type]]="Question", K54, IF(TBL_008_Qs_Lot_1[[#This Row],[Sub_No]]="N/A", "", CONCATENATE(TBL_008_Qs_Lot_1[[#This Row],[Q_No]], TBL_008_Qs_Lot_1[[#This Row],[Sub_No]])))</f>
        <v>Q6.5.6</v>
      </c>
      <c r="B53" s="388" t="s">
        <v>398</v>
      </c>
      <c r="C53" s="394"/>
      <c r="D53" s="399"/>
      <c r="E53" s="399"/>
      <c r="F53" s="400"/>
      <c r="G53" s="399" t="str">
        <f>IF(TBL_008_Qs_Lot_1[[#This Row],[Type]]="Question", IF(SQ_Weighted?="Yes", "", "N/A"), "")</f>
        <v/>
      </c>
      <c r="H5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3" s="380" t="str">
        <f t="array" ref="I5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3" s="391" t="s">
        <v>779</v>
      </c>
      <c r="K53" s="384" t="s">
        <v>410</v>
      </c>
      <c r="L53" s="392" t="s">
        <v>1042</v>
      </c>
      <c r="M53" s="386" t="str">
        <f t="array" ref="M53">INDEX(TBL_003_DocMerge[PAS_or_SQ?], MATCH(1, (Job_No=TBL_003_DocMerge[Job_No])*(Doc_Lot=TBL_003_DocMerge[Lot]),0))</f>
        <v>SQ</v>
      </c>
      <c r="N53" s="387" t="str">
        <f>IF(OR('Project Info'!$B$18="Open Procedure", 'Project Info'!$B$20="SQ"), "Yes", "No")</f>
        <v>Yes</v>
      </c>
    </row>
    <row r="54" spans="1:14" ht="14">
      <c r="A54" s="388" t="str">
        <f>IF(TBL_008_Qs_Lot_1[[#This Row],[Type]]="Question", K55, IF(TBL_008_Qs_Lot_1[[#This Row],[Sub_No]]="N/A", "", CONCATENATE(TBL_008_Qs_Lot_1[[#This Row],[Q_No]], TBL_008_Qs_Lot_1[[#This Row],[Sub_No]])))</f>
        <v>Q6.5.7</v>
      </c>
      <c r="B54" s="388" t="s">
        <v>398</v>
      </c>
      <c r="C54" s="394"/>
      <c r="D54" s="399"/>
      <c r="E54" s="399"/>
      <c r="F54" s="400"/>
      <c r="G54" s="399" t="str">
        <f>IF(TBL_008_Qs_Lot_1[[#This Row],[Type]]="Question", IF(SQ_Weighted?="Yes", "", "N/A"), "")</f>
        <v/>
      </c>
      <c r="H5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4" s="380" t="str">
        <f t="array" ref="I5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4" s="391" t="s">
        <v>779</v>
      </c>
      <c r="K54" s="384" t="s">
        <v>410</v>
      </c>
      <c r="L54" s="392" t="s">
        <v>1043</v>
      </c>
      <c r="M54" s="386" t="str">
        <f t="array" ref="M54">INDEX(TBL_003_DocMerge[PAS_or_SQ?], MATCH(1, (Job_No=TBL_003_DocMerge[Job_No])*(Doc_Lot=TBL_003_DocMerge[Lot]),0))</f>
        <v>SQ</v>
      </c>
      <c r="N54" s="387" t="str">
        <f>IF(OR('Project Info'!$B$18="Open Procedure", 'Project Info'!$B$20="SQ"), "Yes", "No")</f>
        <v>Yes</v>
      </c>
    </row>
    <row r="55" spans="1:14" ht="14">
      <c r="A55" s="388" t="str">
        <f>IF(TBL_008_Qs_Lot_1[[#This Row],[Type]]="Question", K56, IF(TBL_008_Qs_Lot_1[[#This Row],[Sub_No]]="N/A", "", CONCATENATE(TBL_008_Qs_Lot_1[[#This Row],[Q_No]], TBL_008_Qs_Lot_1[[#This Row],[Sub_No]])))</f>
        <v>Q6.5.8</v>
      </c>
      <c r="B55" s="388" t="s">
        <v>398</v>
      </c>
      <c r="C55" s="394"/>
      <c r="D55" s="399"/>
      <c r="E55" s="399"/>
      <c r="F55" s="400"/>
      <c r="G55" s="399" t="str">
        <f>IF(TBL_008_Qs_Lot_1[[#This Row],[Type]]="Question", IF(SQ_Weighted?="Yes", "", "N/A"), "")</f>
        <v/>
      </c>
      <c r="H5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5" s="380" t="str">
        <f t="array" ref="I5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5" s="391" t="s">
        <v>779</v>
      </c>
      <c r="K55" s="384" t="s">
        <v>410</v>
      </c>
      <c r="L55" s="392" t="s">
        <v>1044</v>
      </c>
      <c r="M55" s="386" t="str">
        <f t="array" ref="M55">INDEX(TBL_003_DocMerge[PAS_or_SQ?], MATCH(1, (Job_No=TBL_003_DocMerge[Job_No])*(Doc_Lot=TBL_003_DocMerge[Lot]),0))</f>
        <v>SQ</v>
      </c>
      <c r="N55" s="387" t="str">
        <f>IF(OR('Project Info'!$B$18="Open Procedure", 'Project Info'!$B$20="SQ"), "Yes", "No")</f>
        <v>Yes</v>
      </c>
    </row>
    <row r="56" spans="1:14" ht="14">
      <c r="A56" s="388" t="str">
        <f>IF(TBL_008_Qs_Lot_1[[#This Row],[Type]]="Question", K57, IF(TBL_008_Qs_Lot_1[[#This Row],[Sub_No]]="N/A", "", CONCATENATE(TBL_008_Qs_Lot_1[[#This Row],[Q_No]], TBL_008_Qs_Lot_1[[#This Row],[Sub_No]])))</f>
        <v>Q6.5.9</v>
      </c>
      <c r="B56" s="388" t="s">
        <v>398</v>
      </c>
      <c r="C56" s="394"/>
      <c r="D56" s="399"/>
      <c r="E56" s="399"/>
      <c r="F56" s="400"/>
      <c r="G56" s="399" t="str">
        <f>IF(TBL_008_Qs_Lot_1[[#This Row],[Type]]="Question", IF(SQ_Weighted?="Yes", "", "N/A"), "")</f>
        <v/>
      </c>
      <c r="H5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6" s="380" t="str">
        <f t="array" ref="I5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6" s="391" t="s">
        <v>779</v>
      </c>
      <c r="K56" s="384" t="s">
        <v>410</v>
      </c>
      <c r="L56" s="392" t="s">
        <v>1045</v>
      </c>
      <c r="M56" s="386" t="str">
        <f t="array" ref="M56">INDEX(TBL_003_DocMerge[PAS_or_SQ?], MATCH(1, (Job_No=TBL_003_DocMerge[Job_No])*(Doc_Lot=TBL_003_DocMerge[Lot]),0))</f>
        <v>SQ</v>
      </c>
      <c r="N56" s="387" t="str">
        <f>IF(OR('Project Info'!$B$18="Open Procedure", 'Project Info'!$B$20="SQ"), "Yes", "No")</f>
        <v>Yes</v>
      </c>
    </row>
    <row r="57" spans="1:14" ht="14">
      <c r="A57" s="388" t="str">
        <f>IF(TBL_008_Qs_Lot_1[[#This Row],[Type]]="Question", K58, IF(TBL_008_Qs_Lot_1[[#This Row],[Sub_No]]="N/A", "", CONCATENATE(TBL_008_Qs_Lot_1[[#This Row],[Q_No]], TBL_008_Qs_Lot_1[[#This Row],[Sub_No]])))</f>
        <v>Q6.5.10</v>
      </c>
      <c r="B57" s="388" t="s">
        <v>398</v>
      </c>
      <c r="C57" s="394"/>
      <c r="D57" s="399"/>
      <c r="E57" s="399"/>
      <c r="F57" s="400"/>
      <c r="G57" s="399" t="str">
        <f>IF(TBL_008_Qs_Lot_1[[#This Row],[Type]]="Question", IF(SQ_Weighted?="Yes", "", "N/A"), "")</f>
        <v/>
      </c>
      <c r="H5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7" s="380" t="str">
        <f t="array" ref="I5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7" s="391" t="s">
        <v>779</v>
      </c>
      <c r="K57" s="384" t="s">
        <v>410</v>
      </c>
      <c r="L57" s="392" t="s">
        <v>1046</v>
      </c>
      <c r="M57" s="386" t="str">
        <f t="array" ref="M57">INDEX(TBL_003_DocMerge[PAS_or_SQ?], MATCH(1, (Job_No=TBL_003_DocMerge[Job_No])*(Doc_Lot=TBL_003_DocMerge[Lot]),0))</f>
        <v>SQ</v>
      </c>
      <c r="N57" s="387" t="str">
        <f>IF(OR('Project Info'!$B$18="Open Procedure", 'Project Info'!$B$20="SQ"), "Yes", "No")</f>
        <v>Yes</v>
      </c>
    </row>
    <row r="58" spans="1:14" ht="14">
      <c r="A58" s="378" t="str">
        <f>IF(TBL_008_Qs_Lot_1[[#This Row],[Type]]="Question", K59, IF(TBL_008_Qs_Lot_1[[#This Row],[Sub_No]]="N/A", "", CONCATENATE(TBL_008_Qs_Lot_1[[#This Row],[Q_No]], TBL_008_Qs_Lot_1[[#This Row],[Sub_No]])))</f>
        <v>Q6.6</v>
      </c>
      <c r="B58" s="378" t="s">
        <v>398</v>
      </c>
      <c r="C58" s="398"/>
      <c r="D58" s="380"/>
      <c r="E58" s="398"/>
      <c r="F58" s="382">
        <f>TBL_008_Qs_Lot_1[[#This Row],[No.subs]]*500</f>
        <v>0</v>
      </c>
      <c r="G58" s="380" t="str">
        <f>IF(TBL_008_Qs_Lot_1[[#This Row],[Type]]="Question", IF(SQ_Weighted?="Yes", "", "N/A"), "")</f>
        <v>N/A</v>
      </c>
      <c r="H58"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58" s="380">
        <f t="array" ref="I5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58" s="383" t="s">
        <v>209</v>
      </c>
      <c r="K58" s="384" t="s">
        <v>24</v>
      </c>
      <c r="L58" s="385" t="s">
        <v>24</v>
      </c>
      <c r="M58" s="386" t="str">
        <f t="array" ref="M58">INDEX(TBL_003_DocMerge[PAS_or_SQ?], MATCH(1, (Job_No=TBL_003_DocMerge[Job_No])*(Doc_Lot=TBL_003_DocMerge[Lot]),0))</f>
        <v>SQ</v>
      </c>
      <c r="N58" s="387" t="str">
        <f>IF(OR('Project Info'!$B$18="Open Procedure", 'Project Info'!$B$20="SQ"), "Yes", "No")</f>
        <v>Yes</v>
      </c>
    </row>
    <row r="59" spans="1:14" ht="14">
      <c r="A59" s="388" t="str">
        <f>IF(TBL_008_Qs_Lot_1[[#This Row],[Type]]="Question", K60, IF(TBL_008_Qs_Lot_1[[#This Row],[Sub_No]]="N/A", "", CONCATENATE(TBL_008_Qs_Lot_1[[#This Row],[Q_No]], TBL_008_Qs_Lot_1[[#This Row],[Sub_No]])))</f>
        <v>Q6.6.1</v>
      </c>
      <c r="B59" s="388" t="s">
        <v>398</v>
      </c>
      <c r="C59" s="394"/>
      <c r="D59" s="399"/>
      <c r="E59" s="399"/>
      <c r="F59" s="400"/>
      <c r="G59" s="399" t="str">
        <f>IF(TBL_008_Qs_Lot_1[[#This Row],[Type]]="Question", IF(SQ_Weighted?="Yes", "", "N/A"), "")</f>
        <v/>
      </c>
      <c r="H5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59" s="380" t="str">
        <f t="array" ref="I5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59" s="391" t="s">
        <v>779</v>
      </c>
      <c r="K59" s="384" t="s">
        <v>421</v>
      </c>
      <c r="L59" s="392" t="s">
        <v>1037</v>
      </c>
      <c r="M59" s="386" t="str">
        <f t="array" ref="M59">INDEX(TBL_003_DocMerge[PAS_or_SQ?], MATCH(1, (Job_No=TBL_003_DocMerge[Job_No])*(Doc_Lot=TBL_003_DocMerge[Lot]),0))</f>
        <v>SQ</v>
      </c>
      <c r="N59" s="387" t="str">
        <f>IF(OR('Project Info'!$B$18="Open Procedure", 'Project Info'!$B$20="SQ"), "Yes", "No")</f>
        <v>Yes</v>
      </c>
    </row>
    <row r="60" spans="1:14" ht="14">
      <c r="A60" s="388" t="str">
        <f>IF(TBL_008_Qs_Lot_1[[#This Row],[Type]]="Question", K61, IF(TBL_008_Qs_Lot_1[[#This Row],[Sub_No]]="N/A", "", CONCATENATE(TBL_008_Qs_Lot_1[[#This Row],[Q_No]], TBL_008_Qs_Lot_1[[#This Row],[Sub_No]])))</f>
        <v>Q6.6.2</v>
      </c>
      <c r="B60" s="388" t="s">
        <v>398</v>
      </c>
      <c r="C60" s="394"/>
      <c r="D60" s="399"/>
      <c r="E60" s="399"/>
      <c r="F60" s="400"/>
      <c r="G60" s="399" t="str">
        <f>IF(TBL_008_Qs_Lot_1[[#This Row],[Type]]="Question", IF(SQ_Weighted?="Yes", "", "N/A"), "")</f>
        <v/>
      </c>
      <c r="H6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0" s="380" t="str">
        <f t="array" ref="I6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0" s="391" t="s">
        <v>779</v>
      </c>
      <c r="K60" s="384" t="s">
        <v>421</v>
      </c>
      <c r="L60" s="392" t="s">
        <v>1041</v>
      </c>
      <c r="M60" s="386" t="str">
        <f t="array" ref="M60">INDEX(TBL_003_DocMerge[PAS_or_SQ?], MATCH(1, (Job_No=TBL_003_DocMerge[Job_No])*(Doc_Lot=TBL_003_DocMerge[Lot]),0))</f>
        <v>SQ</v>
      </c>
      <c r="N60" s="387" t="str">
        <f>IF(OR('Project Info'!$B$18="Open Procedure", 'Project Info'!$B$20="SQ"), "Yes", "No")</f>
        <v>Yes</v>
      </c>
    </row>
    <row r="61" spans="1:14" ht="14">
      <c r="A61" s="388" t="str">
        <f>IF(TBL_008_Qs_Lot_1[[#This Row],[Type]]="Question", K62, IF(TBL_008_Qs_Lot_1[[#This Row],[Sub_No]]="N/A", "", CONCATENATE(TBL_008_Qs_Lot_1[[#This Row],[Q_No]], TBL_008_Qs_Lot_1[[#This Row],[Sub_No]])))</f>
        <v>Q6.6.3</v>
      </c>
      <c r="B61" s="388" t="s">
        <v>398</v>
      </c>
      <c r="C61" s="394"/>
      <c r="D61" s="399"/>
      <c r="E61" s="399"/>
      <c r="F61" s="400"/>
      <c r="G61" s="399" t="str">
        <f>IF(TBL_008_Qs_Lot_1[[#This Row],[Type]]="Question", IF(SQ_Weighted?="Yes", "", "N/A"), "")</f>
        <v/>
      </c>
      <c r="H6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1" s="380" t="str">
        <f t="array" ref="I6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1" s="391" t="s">
        <v>779</v>
      </c>
      <c r="K61" s="384" t="s">
        <v>421</v>
      </c>
      <c r="L61" s="392" t="s">
        <v>1038</v>
      </c>
      <c r="M61" s="386" t="str">
        <f t="array" ref="M61">INDEX(TBL_003_DocMerge[PAS_or_SQ?], MATCH(1, (Job_No=TBL_003_DocMerge[Job_No])*(Doc_Lot=TBL_003_DocMerge[Lot]),0))</f>
        <v>SQ</v>
      </c>
      <c r="N61" s="387" t="str">
        <f>IF(OR('Project Info'!$B$18="Open Procedure", 'Project Info'!$B$20="SQ"), "Yes", "No")</f>
        <v>Yes</v>
      </c>
    </row>
    <row r="62" spans="1:14" ht="14">
      <c r="A62" s="388" t="str">
        <f>IF(TBL_008_Qs_Lot_1[[#This Row],[Type]]="Question", K63, IF(TBL_008_Qs_Lot_1[[#This Row],[Sub_No]]="N/A", "", CONCATENATE(TBL_008_Qs_Lot_1[[#This Row],[Q_No]], TBL_008_Qs_Lot_1[[#This Row],[Sub_No]])))</f>
        <v>Q6.6.4</v>
      </c>
      <c r="B62" s="388" t="s">
        <v>398</v>
      </c>
      <c r="C62" s="394"/>
      <c r="D62" s="399"/>
      <c r="E62" s="399"/>
      <c r="F62" s="400"/>
      <c r="G62" s="399" t="str">
        <f>IF(TBL_008_Qs_Lot_1[[#This Row],[Type]]="Question", IF(SQ_Weighted?="Yes", "", "N/A"), "")</f>
        <v/>
      </c>
      <c r="H6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2" s="380" t="str">
        <f t="array" ref="I6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2" s="391" t="s">
        <v>779</v>
      </c>
      <c r="K62" s="384" t="s">
        <v>421</v>
      </c>
      <c r="L62" s="392" t="s">
        <v>1039</v>
      </c>
      <c r="M62" s="386" t="str">
        <f t="array" ref="M62">INDEX(TBL_003_DocMerge[PAS_or_SQ?], MATCH(1, (Job_No=TBL_003_DocMerge[Job_No])*(Doc_Lot=TBL_003_DocMerge[Lot]),0))</f>
        <v>SQ</v>
      </c>
      <c r="N62" s="387" t="str">
        <f>IF(OR('Project Info'!$B$18="Open Procedure", 'Project Info'!$B$20="SQ"), "Yes", "No")</f>
        <v>Yes</v>
      </c>
    </row>
    <row r="63" spans="1:14" ht="14">
      <c r="A63" s="388" t="str">
        <f>IF(TBL_008_Qs_Lot_1[[#This Row],[Type]]="Question", K64, IF(TBL_008_Qs_Lot_1[[#This Row],[Sub_No]]="N/A", "", CONCATENATE(TBL_008_Qs_Lot_1[[#This Row],[Q_No]], TBL_008_Qs_Lot_1[[#This Row],[Sub_No]])))</f>
        <v>Q6.6.5</v>
      </c>
      <c r="B63" s="388" t="s">
        <v>398</v>
      </c>
      <c r="C63" s="394"/>
      <c r="D63" s="399"/>
      <c r="E63" s="399"/>
      <c r="F63" s="400"/>
      <c r="G63" s="399" t="str">
        <f>IF(TBL_008_Qs_Lot_1[[#This Row],[Type]]="Question", IF(SQ_Weighted?="Yes", "", "N/A"), "")</f>
        <v/>
      </c>
      <c r="H6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3" s="380" t="str">
        <f t="array" ref="I6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3" s="391" t="s">
        <v>779</v>
      </c>
      <c r="K63" s="384" t="s">
        <v>421</v>
      </c>
      <c r="L63" s="392" t="s">
        <v>1040</v>
      </c>
      <c r="M63" s="386" t="str">
        <f t="array" ref="M63">INDEX(TBL_003_DocMerge[PAS_or_SQ?], MATCH(1, (Job_No=TBL_003_DocMerge[Job_No])*(Doc_Lot=TBL_003_DocMerge[Lot]),0))</f>
        <v>SQ</v>
      </c>
      <c r="N63" s="387" t="str">
        <f>IF(OR('Project Info'!$B$18="Open Procedure", 'Project Info'!$B$20="SQ"), "Yes", "No")</f>
        <v>Yes</v>
      </c>
    </row>
    <row r="64" spans="1:14" ht="14">
      <c r="A64" s="388" t="str">
        <f>IF(TBL_008_Qs_Lot_1[[#This Row],[Type]]="Question", K65, IF(TBL_008_Qs_Lot_1[[#This Row],[Sub_No]]="N/A", "", CONCATENATE(TBL_008_Qs_Lot_1[[#This Row],[Q_No]], TBL_008_Qs_Lot_1[[#This Row],[Sub_No]])))</f>
        <v>Q6.6.6</v>
      </c>
      <c r="B64" s="388" t="s">
        <v>398</v>
      </c>
      <c r="C64" s="394"/>
      <c r="D64" s="399"/>
      <c r="E64" s="399"/>
      <c r="F64" s="400"/>
      <c r="G64" s="399" t="str">
        <f>IF(TBL_008_Qs_Lot_1[[#This Row],[Type]]="Question", IF(SQ_Weighted?="Yes", "", "N/A"), "")</f>
        <v/>
      </c>
      <c r="H6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4" s="380" t="str">
        <f t="array" ref="I6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4" s="391" t="s">
        <v>779</v>
      </c>
      <c r="K64" s="384" t="s">
        <v>421</v>
      </c>
      <c r="L64" s="392" t="s">
        <v>1042</v>
      </c>
      <c r="M64" s="386" t="str">
        <f t="array" ref="M64">INDEX(TBL_003_DocMerge[PAS_or_SQ?], MATCH(1, (Job_No=TBL_003_DocMerge[Job_No])*(Doc_Lot=TBL_003_DocMerge[Lot]),0))</f>
        <v>SQ</v>
      </c>
      <c r="N64" s="387" t="str">
        <f>IF(OR('Project Info'!$B$18="Open Procedure", 'Project Info'!$B$20="SQ"), "Yes", "No")</f>
        <v>Yes</v>
      </c>
    </row>
    <row r="65" spans="1:14" ht="14">
      <c r="A65" s="388" t="str">
        <f>IF(TBL_008_Qs_Lot_1[[#This Row],[Type]]="Question", K66, IF(TBL_008_Qs_Lot_1[[#This Row],[Sub_No]]="N/A", "", CONCATENATE(TBL_008_Qs_Lot_1[[#This Row],[Q_No]], TBL_008_Qs_Lot_1[[#This Row],[Sub_No]])))</f>
        <v>Q6.6.7</v>
      </c>
      <c r="B65" s="388" t="s">
        <v>398</v>
      </c>
      <c r="C65" s="394"/>
      <c r="D65" s="399"/>
      <c r="E65" s="399"/>
      <c r="F65" s="400"/>
      <c r="G65" s="399" t="str">
        <f>IF(TBL_008_Qs_Lot_1[[#This Row],[Type]]="Question", IF(SQ_Weighted?="Yes", "", "N/A"), "")</f>
        <v/>
      </c>
      <c r="H6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5" s="380" t="str">
        <f t="array" ref="I6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5" s="391" t="s">
        <v>779</v>
      </c>
      <c r="K65" s="384" t="s">
        <v>421</v>
      </c>
      <c r="L65" s="392" t="s">
        <v>1043</v>
      </c>
      <c r="M65" s="386" t="str">
        <f t="array" ref="M65">INDEX(TBL_003_DocMerge[PAS_or_SQ?], MATCH(1, (Job_No=TBL_003_DocMerge[Job_No])*(Doc_Lot=TBL_003_DocMerge[Lot]),0))</f>
        <v>SQ</v>
      </c>
      <c r="N65" s="387" t="str">
        <f>IF(OR('Project Info'!$B$18="Open Procedure", 'Project Info'!$B$20="SQ"), "Yes", "No")</f>
        <v>Yes</v>
      </c>
    </row>
    <row r="66" spans="1:14" ht="14">
      <c r="A66" s="388" t="str">
        <f>IF(TBL_008_Qs_Lot_1[[#This Row],[Type]]="Question", K67, IF(TBL_008_Qs_Lot_1[[#This Row],[Sub_No]]="N/A", "", CONCATENATE(TBL_008_Qs_Lot_1[[#This Row],[Q_No]], TBL_008_Qs_Lot_1[[#This Row],[Sub_No]])))</f>
        <v>Q6.6.8</v>
      </c>
      <c r="B66" s="388" t="s">
        <v>398</v>
      </c>
      <c r="C66" s="394"/>
      <c r="D66" s="399"/>
      <c r="E66" s="399"/>
      <c r="F66" s="400"/>
      <c r="G66" s="399" t="str">
        <f>IF(TBL_008_Qs_Lot_1[[#This Row],[Type]]="Question", IF(SQ_Weighted?="Yes", "", "N/A"), "")</f>
        <v/>
      </c>
      <c r="H6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6" s="380" t="str">
        <f t="array" ref="I6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6" s="391" t="s">
        <v>779</v>
      </c>
      <c r="K66" s="384" t="s">
        <v>421</v>
      </c>
      <c r="L66" s="392" t="s">
        <v>1044</v>
      </c>
      <c r="M66" s="386" t="str">
        <f t="array" ref="M66">INDEX(TBL_003_DocMerge[PAS_or_SQ?], MATCH(1, (Job_No=TBL_003_DocMerge[Job_No])*(Doc_Lot=TBL_003_DocMerge[Lot]),0))</f>
        <v>SQ</v>
      </c>
      <c r="N66" s="387" t="str">
        <f>IF(OR('Project Info'!$B$18="Open Procedure", 'Project Info'!$B$20="SQ"), "Yes", "No")</f>
        <v>Yes</v>
      </c>
    </row>
    <row r="67" spans="1:14" ht="14">
      <c r="A67" s="388" t="str">
        <f>IF(TBL_008_Qs_Lot_1[[#This Row],[Type]]="Question", K68, IF(TBL_008_Qs_Lot_1[[#This Row],[Sub_No]]="N/A", "", CONCATENATE(TBL_008_Qs_Lot_1[[#This Row],[Q_No]], TBL_008_Qs_Lot_1[[#This Row],[Sub_No]])))</f>
        <v>Q6.6.9</v>
      </c>
      <c r="B67" s="388" t="s">
        <v>398</v>
      </c>
      <c r="C67" s="394"/>
      <c r="D67" s="399"/>
      <c r="E67" s="399"/>
      <c r="F67" s="400"/>
      <c r="G67" s="399" t="str">
        <f>IF(TBL_008_Qs_Lot_1[[#This Row],[Type]]="Question", IF(SQ_Weighted?="Yes", "", "N/A"), "")</f>
        <v/>
      </c>
      <c r="H6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7" s="380" t="str">
        <f t="array" ref="I6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7" s="391" t="s">
        <v>779</v>
      </c>
      <c r="K67" s="384" t="s">
        <v>421</v>
      </c>
      <c r="L67" s="392" t="s">
        <v>1045</v>
      </c>
      <c r="M67" s="386" t="str">
        <f t="array" ref="M67">INDEX(TBL_003_DocMerge[PAS_or_SQ?], MATCH(1, (Job_No=TBL_003_DocMerge[Job_No])*(Doc_Lot=TBL_003_DocMerge[Lot]),0))</f>
        <v>SQ</v>
      </c>
      <c r="N67" s="387" t="str">
        <f>IF(OR('Project Info'!$B$18="Open Procedure", 'Project Info'!$B$20="SQ"), "Yes", "No")</f>
        <v>Yes</v>
      </c>
    </row>
    <row r="68" spans="1:14" ht="14">
      <c r="A68" s="388" t="str">
        <f>IF(TBL_008_Qs_Lot_1[[#This Row],[Type]]="Question", K69, IF(TBL_008_Qs_Lot_1[[#This Row],[Sub_No]]="N/A", "", CONCATENATE(TBL_008_Qs_Lot_1[[#This Row],[Q_No]], TBL_008_Qs_Lot_1[[#This Row],[Sub_No]])))</f>
        <v>Q6.6.10</v>
      </c>
      <c r="B68" s="388" t="s">
        <v>398</v>
      </c>
      <c r="C68" s="394"/>
      <c r="D68" s="399"/>
      <c r="E68" s="399"/>
      <c r="F68" s="400"/>
      <c r="G68" s="399" t="str">
        <f>IF(TBL_008_Qs_Lot_1[[#This Row],[Type]]="Question", IF(SQ_Weighted?="Yes", "", "N/A"), "")</f>
        <v/>
      </c>
      <c r="H6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68" s="380" t="str">
        <f t="array" ref="I6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68" s="391" t="s">
        <v>779</v>
      </c>
      <c r="K68" s="384" t="s">
        <v>421</v>
      </c>
      <c r="L68" s="392" t="s">
        <v>1046</v>
      </c>
      <c r="M68" s="386" t="str">
        <f t="array" ref="M68">INDEX(TBL_003_DocMerge[PAS_or_SQ?], MATCH(1, (Job_No=TBL_003_DocMerge[Job_No])*(Doc_Lot=TBL_003_DocMerge[Lot]),0))</f>
        <v>SQ</v>
      </c>
      <c r="N68" s="387" t="str">
        <f>IF(OR('Project Info'!$B$18="Open Procedure", 'Project Info'!$B$20="SQ"), "Yes", "No")</f>
        <v>Yes</v>
      </c>
    </row>
    <row r="69" spans="1:14" ht="14">
      <c r="A69" s="378" t="str">
        <f>IF(TBL_008_Qs_Lot_1[[#This Row],[Type]]="Question", K70, IF(TBL_008_Qs_Lot_1[[#This Row],[Sub_No]]="N/A", "", CONCATENATE(TBL_008_Qs_Lot_1[[#This Row],[Q_No]], TBL_008_Qs_Lot_1[[#This Row],[Sub_No]])))</f>
        <v>Q6.7</v>
      </c>
      <c r="B69" s="378" t="s">
        <v>398</v>
      </c>
      <c r="C69" s="398"/>
      <c r="D69" s="380"/>
      <c r="E69" s="398"/>
      <c r="F69" s="382">
        <f>TBL_008_Qs_Lot_1[[#This Row],[No.subs]]*500</f>
        <v>0</v>
      </c>
      <c r="G69" s="380" t="str">
        <f>IF(TBL_008_Qs_Lot_1[[#This Row],[Type]]="Question", IF(SQ_Weighted?="Yes", "", "N/A"), "")</f>
        <v>N/A</v>
      </c>
      <c r="H69"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69" s="380">
        <f t="array" ref="I6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69" s="383" t="s">
        <v>209</v>
      </c>
      <c r="K69" s="384" t="s">
        <v>24</v>
      </c>
      <c r="L69" s="385" t="s">
        <v>24</v>
      </c>
      <c r="M69" s="386" t="str">
        <f t="array" ref="M69">INDEX(TBL_003_DocMerge[PAS_or_SQ?], MATCH(1, (Job_No=TBL_003_DocMerge[Job_No])*(Doc_Lot=TBL_003_DocMerge[Lot]),0))</f>
        <v>SQ</v>
      </c>
      <c r="N69" s="387" t="str">
        <f>IF(OR('Project Info'!$B$18="Open Procedure", 'Project Info'!$B$20="SQ"), "Yes", "No")</f>
        <v>Yes</v>
      </c>
    </row>
    <row r="70" spans="1:14" ht="14">
      <c r="A70" s="388" t="str">
        <f>IF(TBL_008_Qs_Lot_1[[#This Row],[Type]]="Question", K71, IF(TBL_008_Qs_Lot_1[[#This Row],[Sub_No]]="N/A", "", CONCATENATE(TBL_008_Qs_Lot_1[[#This Row],[Q_No]], TBL_008_Qs_Lot_1[[#This Row],[Sub_No]])))</f>
        <v>Q6.7.1</v>
      </c>
      <c r="B70" s="388" t="s">
        <v>398</v>
      </c>
      <c r="C70" s="394"/>
      <c r="D70" s="399"/>
      <c r="E70" s="399"/>
      <c r="F70" s="400"/>
      <c r="G70" s="399" t="str">
        <f>IF(TBL_008_Qs_Lot_1[[#This Row],[Type]]="Question", IF(SQ_Weighted?="Yes", "", "N/A"), "")</f>
        <v/>
      </c>
      <c r="H7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0" s="380" t="str">
        <f t="array" ref="I7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0" s="391" t="s">
        <v>779</v>
      </c>
      <c r="K70" s="384" t="s">
        <v>430</v>
      </c>
      <c r="L70" s="392" t="s">
        <v>1037</v>
      </c>
      <c r="M70" s="386" t="str">
        <f t="array" ref="M70">INDEX(TBL_003_DocMerge[PAS_or_SQ?], MATCH(1, (Job_No=TBL_003_DocMerge[Job_No])*(Doc_Lot=TBL_003_DocMerge[Lot]),0))</f>
        <v>SQ</v>
      </c>
      <c r="N70" s="387" t="str">
        <f>IF(OR('Project Info'!$B$18="Open Procedure", 'Project Info'!$B$20="SQ"), "Yes", "No")</f>
        <v>Yes</v>
      </c>
    </row>
    <row r="71" spans="1:14" ht="14">
      <c r="A71" s="388" t="str">
        <f>IF(TBL_008_Qs_Lot_1[[#This Row],[Type]]="Question", K72, IF(TBL_008_Qs_Lot_1[[#This Row],[Sub_No]]="N/A", "", CONCATENATE(TBL_008_Qs_Lot_1[[#This Row],[Q_No]], TBL_008_Qs_Lot_1[[#This Row],[Sub_No]])))</f>
        <v>Q6.7.2</v>
      </c>
      <c r="B71" s="388" t="s">
        <v>398</v>
      </c>
      <c r="C71" s="394"/>
      <c r="D71" s="399"/>
      <c r="E71" s="399"/>
      <c r="F71" s="400"/>
      <c r="G71" s="399" t="str">
        <f>IF(TBL_008_Qs_Lot_1[[#This Row],[Type]]="Question", IF(SQ_Weighted?="Yes", "", "N/A"), "")</f>
        <v/>
      </c>
      <c r="H7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1" s="380" t="str">
        <f t="array" ref="I7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1" s="391" t="s">
        <v>779</v>
      </c>
      <c r="K71" s="384" t="s">
        <v>430</v>
      </c>
      <c r="L71" s="392" t="s">
        <v>1041</v>
      </c>
      <c r="M71" s="386" t="str">
        <f t="array" ref="M71">INDEX(TBL_003_DocMerge[PAS_or_SQ?], MATCH(1, (Job_No=TBL_003_DocMerge[Job_No])*(Doc_Lot=TBL_003_DocMerge[Lot]),0))</f>
        <v>SQ</v>
      </c>
      <c r="N71" s="387" t="str">
        <f>IF(OR('Project Info'!$B$18="Open Procedure", 'Project Info'!$B$20="SQ"), "Yes", "No")</f>
        <v>Yes</v>
      </c>
    </row>
    <row r="72" spans="1:14" ht="14">
      <c r="A72" s="388" t="str">
        <f>IF(TBL_008_Qs_Lot_1[[#This Row],[Type]]="Question", K73, IF(TBL_008_Qs_Lot_1[[#This Row],[Sub_No]]="N/A", "", CONCATENATE(TBL_008_Qs_Lot_1[[#This Row],[Q_No]], TBL_008_Qs_Lot_1[[#This Row],[Sub_No]])))</f>
        <v>Q6.7.3</v>
      </c>
      <c r="B72" s="388" t="s">
        <v>398</v>
      </c>
      <c r="C72" s="394"/>
      <c r="D72" s="399"/>
      <c r="E72" s="399"/>
      <c r="F72" s="400"/>
      <c r="G72" s="399" t="str">
        <f>IF(TBL_008_Qs_Lot_1[[#This Row],[Type]]="Question", IF(SQ_Weighted?="Yes", "", "N/A"), "")</f>
        <v/>
      </c>
      <c r="H7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2" s="380" t="str">
        <f t="array" ref="I7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2" s="391" t="s">
        <v>779</v>
      </c>
      <c r="K72" s="384" t="s">
        <v>430</v>
      </c>
      <c r="L72" s="392" t="s">
        <v>1038</v>
      </c>
      <c r="M72" s="386" t="str">
        <f t="array" ref="M72">INDEX(TBL_003_DocMerge[PAS_or_SQ?], MATCH(1, (Job_No=TBL_003_DocMerge[Job_No])*(Doc_Lot=TBL_003_DocMerge[Lot]),0))</f>
        <v>SQ</v>
      </c>
      <c r="N72" s="387" t="str">
        <f>IF(OR('Project Info'!$B$18="Open Procedure", 'Project Info'!$B$20="SQ"), "Yes", "No")</f>
        <v>Yes</v>
      </c>
    </row>
    <row r="73" spans="1:14" ht="14">
      <c r="A73" s="388" t="str">
        <f>IF(TBL_008_Qs_Lot_1[[#This Row],[Type]]="Question", K74, IF(TBL_008_Qs_Lot_1[[#This Row],[Sub_No]]="N/A", "", CONCATENATE(TBL_008_Qs_Lot_1[[#This Row],[Q_No]], TBL_008_Qs_Lot_1[[#This Row],[Sub_No]])))</f>
        <v>Q6.7.4</v>
      </c>
      <c r="B73" s="388" t="s">
        <v>398</v>
      </c>
      <c r="C73" s="394"/>
      <c r="D73" s="399"/>
      <c r="E73" s="399"/>
      <c r="F73" s="400"/>
      <c r="G73" s="399" t="str">
        <f>IF(TBL_008_Qs_Lot_1[[#This Row],[Type]]="Question", IF(SQ_Weighted?="Yes", "", "N/A"), "")</f>
        <v/>
      </c>
      <c r="H7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3" s="380" t="str">
        <f t="array" ref="I7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3" s="391" t="s">
        <v>779</v>
      </c>
      <c r="K73" s="384" t="s">
        <v>430</v>
      </c>
      <c r="L73" s="392" t="s">
        <v>1039</v>
      </c>
      <c r="M73" s="386" t="str">
        <f t="array" ref="M73">INDEX(TBL_003_DocMerge[PAS_or_SQ?], MATCH(1, (Job_No=TBL_003_DocMerge[Job_No])*(Doc_Lot=TBL_003_DocMerge[Lot]),0))</f>
        <v>SQ</v>
      </c>
      <c r="N73" s="387" t="str">
        <f>IF(OR('Project Info'!$B$18="Open Procedure", 'Project Info'!$B$20="SQ"), "Yes", "No")</f>
        <v>Yes</v>
      </c>
    </row>
    <row r="74" spans="1:14" ht="14">
      <c r="A74" s="388" t="str">
        <f>IF(TBL_008_Qs_Lot_1[[#This Row],[Type]]="Question", K75, IF(TBL_008_Qs_Lot_1[[#This Row],[Sub_No]]="N/A", "", CONCATENATE(TBL_008_Qs_Lot_1[[#This Row],[Q_No]], TBL_008_Qs_Lot_1[[#This Row],[Sub_No]])))</f>
        <v>Q6.7.5</v>
      </c>
      <c r="B74" s="388" t="s">
        <v>398</v>
      </c>
      <c r="C74" s="394"/>
      <c r="D74" s="399"/>
      <c r="E74" s="399"/>
      <c r="F74" s="400"/>
      <c r="G74" s="399" t="str">
        <f>IF(TBL_008_Qs_Lot_1[[#This Row],[Type]]="Question", IF(SQ_Weighted?="Yes", "", "N/A"), "")</f>
        <v/>
      </c>
      <c r="H7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4" s="380" t="str">
        <f t="array" ref="I7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4" s="391" t="s">
        <v>779</v>
      </c>
      <c r="K74" s="384" t="s">
        <v>430</v>
      </c>
      <c r="L74" s="392" t="s">
        <v>1040</v>
      </c>
      <c r="M74" s="386" t="str">
        <f t="array" ref="M74">INDEX(TBL_003_DocMerge[PAS_or_SQ?], MATCH(1, (Job_No=TBL_003_DocMerge[Job_No])*(Doc_Lot=TBL_003_DocMerge[Lot]),0))</f>
        <v>SQ</v>
      </c>
      <c r="N74" s="387" t="str">
        <f>IF(OR('Project Info'!$B$18="Open Procedure", 'Project Info'!$B$20="SQ"), "Yes", "No")</f>
        <v>Yes</v>
      </c>
    </row>
    <row r="75" spans="1:14" ht="14">
      <c r="A75" s="388" t="str">
        <f>IF(TBL_008_Qs_Lot_1[[#This Row],[Type]]="Question", K76, IF(TBL_008_Qs_Lot_1[[#This Row],[Sub_No]]="N/A", "", CONCATENATE(TBL_008_Qs_Lot_1[[#This Row],[Q_No]], TBL_008_Qs_Lot_1[[#This Row],[Sub_No]])))</f>
        <v>Q6.7.6</v>
      </c>
      <c r="B75" s="388" t="s">
        <v>398</v>
      </c>
      <c r="C75" s="394"/>
      <c r="D75" s="399"/>
      <c r="E75" s="399"/>
      <c r="F75" s="400"/>
      <c r="G75" s="399" t="str">
        <f>IF(TBL_008_Qs_Lot_1[[#This Row],[Type]]="Question", IF(SQ_Weighted?="Yes", "", "N/A"), "")</f>
        <v/>
      </c>
      <c r="H7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5" s="380" t="str">
        <f t="array" ref="I7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5" s="391" t="s">
        <v>779</v>
      </c>
      <c r="K75" s="384" t="s">
        <v>430</v>
      </c>
      <c r="L75" s="392" t="s">
        <v>1042</v>
      </c>
      <c r="M75" s="386" t="str">
        <f t="array" ref="M75">INDEX(TBL_003_DocMerge[PAS_or_SQ?], MATCH(1, (Job_No=TBL_003_DocMerge[Job_No])*(Doc_Lot=TBL_003_DocMerge[Lot]),0))</f>
        <v>SQ</v>
      </c>
      <c r="N75" s="387" t="str">
        <f>IF(OR('Project Info'!$B$18="Open Procedure", 'Project Info'!$B$20="SQ"), "Yes", "No")</f>
        <v>Yes</v>
      </c>
    </row>
    <row r="76" spans="1:14" ht="14">
      <c r="A76" s="388" t="str">
        <f>IF(TBL_008_Qs_Lot_1[[#This Row],[Type]]="Question", K77, IF(TBL_008_Qs_Lot_1[[#This Row],[Sub_No]]="N/A", "", CONCATENATE(TBL_008_Qs_Lot_1[[#This Row],[Q_No]], TBL_008_Qs_Lot_1[[#This Row],[Sub_No]])))</f>
        <v>Q6.7.7</v>
      </c>
      <c r="B76" s="388" t="s">
        <v>398</v>
      </c>
      <c r="C76" s="394"/>
      <c r="D76" s="399"/>
      <c r="E76" s="399"/>
      <c r="F76" s="400"/>
      <c r="G76" s="399" t="str">
        <f>IF(TBL_008_Qs_Lot_1[[#This Row],[Type]]="Question", IF(SQ_Weighted?="Yes", "", "N/A"), "")</f>
        <v/>
      </c>
      <c r="H7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6" s="380" t="str">
        <f t="array" ref="I7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6" s="391" t="s">
        <v>779</v>
      </c>
      <c r="K76" s="384" t="s">
        <v>430</v>
      </c>
      <c r="L76" s="392" t="s">
        <v>1043</v>
      </c>
      <c r="M76" s="386" t="str">
        <f t="array" ref="M76">INDEX(TBL_003_DocMerge[PAS_or_SQ?], MATCH(1, (Job_No=TBL_003_DocMerge[Job_No])*(Doc_Lot=TBL_003_DocMerge[Lot]),0))</f>
        <v>SQ</v>
      </c>
      <c r="N76" s="387" t="str">
        <f>IF(OR('Project Info'!$B$18="Open Procedure", 'Project Info'!$B$20="SQ"), "Yes", "No")</f>
        <v>Yes</v>
      </c>
    </row>
    <row r="77" spans="1:14" ht="14">
      <c r="A77" s="388" t="str">
        <f>IF(TBL_008_Qs_Lot_1[[#This Row],[Type]]="Question", K78, IF(TBL_008_Qs_Lot_1[[#This Row],[Sub_No]]="N/A", "", CONCATENATE(TBL_008_Qs_Lot_1[[#This Row],[Q_No]], TBL_008_Qs_Lot_1[[#This Row],[Sub_No]])))</f>
        <v>Q6.7.8</v>
      </c>
      <c r="B77" s="388" t="s">
        <v>398</v>
      </c>
      <c r="C77" s="394"/>
      <c r="D77" s="399"/>
      <c r="E77" s="399"/>
      <c r="F77" s="400"/>
      <c r="G77" s="399" t="str">
        <f>IF(TBL_008_Qs_Lot_1[[#This Row],[Type]]="Question", IF(SQ_Weighted?="Yes", "", "N/A"), "")</f>
        <v/>
      </c>
      <c r="H7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7" s="380" t="str">
        <f t="array" ref="I7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7" s="391" t="s">
        <v>779</v>
      </c>
      <c r="K77" s="384" t="s">
        <v>430</v>
      </c>
      <c r="L77" s="392" t="s">
        <v>1044</v>
      </c>
      <c r="M77" s="386" t="str">
        <f t="array" ref="M77">INDEX(TBL_003_DocMerge[PAS_or_SQ?], MATCH(1, (Job_No=TBL_003_DocMerge[Job_No])*(Doc_Lot=TBL_003_DocMerge[Lot]),0))</f>
        <v>SQ</v>
      </c>
      <c r="N77" s="387" t="str">
        <f>IF(OR('Project Info'!$B$18="Open Procedure", 'Project Info'!$B$20="SQ"), "Yes", "No")</f>
        <v>Yes</v>
      </c>
    </row>
    <row r="78" spans="1:14" ht="14">
      <c r="A78" s="388" t="str">
        <f>IF(TBL_008_Qs_Lot_1[[#This Row],[Type]]="Question", K79, IF(TBL_008_Qs_Lot_1[[#This Row],[Sub_No]]="N/A", "", CONCATENATE(TBL_008_Qs_Lot_1[[#This Row],[Q_No]], TBL_008_Qs_Lot_1[[#This Row],[Sub_No]])))</f>
        <v>Q6.7.9</v>
      </c>
      <c r="B78" s="388" t="s">
        <v>398</v>
      </c>
      <c r="C78" s="394"/>
      <c r="D78" s="399"/>
      <c r="E78" s="399"/>
      <c r="F78" s="400"/>
      <c r="G78" s="399" t="str">
        <f>IF(TBL_008_Qs_Lot_1[[#This Row],[Type]]="Question", IF(SQ_Weighted?="Yes", "", "N/A"), "")</f>
        <v/>
      </c>
      <c r="H7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8" s="380" t="str">
        <f t="array" ref="I7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8" s="391" t="s">
        <v>779</v>
      </c>
      <c r="K78" s="384" t="s">
        <v>430</v>
      </c>
      <c r="L78" s="392" t="s">
        <v>1045</v>
      </c>
      <c r="M78" s="386" t="str">
        <f t="array" ref="M78">INDEX(TBL_003_DocMerge[PAS_or_SQ?], MATCH(1, (Job_No=TBL_003_DocMerge[Job_No])*(Doc_Lot=TBL_003_DocMerge[Lot]),0))</f>
        <v>SQ</v>
      </c>
      <c r="N78" s="387" t="str">
        <f>IF(OR('Project Info'!$B$18="Open Procedure", 'Project Info'!$B$20="SQ"), "Yes", "No")</f>
        <v>Yes</v>
      </c>
    </row>
    <row r="79" spans="1:14" ht="14">
      <c r="A79" s="388" t="str">
        <f>IF(TBL_008_Qs_Lot_1[[#This Row],[Type]]="Question", K80, IF(TBL_008_Qs_Lot_1[[#This Row],[Sub_No]]="N/A", "", CONCATENATE(TBL_008_Qs_Lot_1[[#This Row],[Q_No]], TBL_008_Qs_Lot_1[[#This Row],[Sub_No]])))</f>
        <v>Q6.7.10</v>
      </c>
      <c r="B79" s="388" t="s">
        <v>398</v>
      </c>
      <c r="C79" s="394"/>
      <c r="D79" s="399"/>
      <c r="E79" s="399"/>
      <c r="F79" s="400"/>
      <c r="G79" s="399" t="str">
        <f>IF(TBL_008_Qs_Lot_1[[#This Row],[Type]]="Question", IF(SQ_Weighted?="Yes", "", "N/A"), "")</f>
        <v/>
      </c>
      <c r="H7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79" s="380" t="str">
        <f t="array" ref="I7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79" s="391" t="s">
        <v>779</v>
      </c>
      <c r="K79" s="384" t="s">
        <v>430</v>
      </c>
      <c r="L79" s="392" t="s">
        <v>1046</v>
      </c>
      <c r="M79" s="386" t="str">
        <f t="array" ref="M79">INDEX(TBL_003_DocMerge[PAS_or_SQ?], MATCH(1, (Job_No=TBL_003_DocMerge[Job_No])*(Doc_Lot=TBL_003_DocMerge[Lot]),0))</f>
        <v>SQ</v>
      </c>
      <c r="N79" s="387" t="str">
        <f>IF(OR('Project Info'!$B$18="Open Procedure", 'Project Info'!$B$20="SQ"), "Yes", "No")</f>
        <v>Yes</v>
      </c>
    </row>
    <row r="80" spans="1:14" ht="14">
      <c r="A80" s="378" t="str">
        <f>IF(TBL_008_Qs_Lot_1[[#This Row],[Type]]="Question", K81, IF(TBL_008_Qs_Lot_1[[#This Row],[Sub_No]]="N/A", "", CONCATENATE(TBL_008_Qs_Lot_1[[#This Row],[Q_No]], TBL_008_Qs_Lot_1[[#This Row],[Sub_No]])))</f>
        <v>Q6.8</v>
      </c>
      <c r="B80" s="378" t="s">
        <v>398</v>
      </c>
      <c r="C80" s="398"/>
      <c r="D80" s="380"/>
      <c r="E80" s="398"/>
      <c r="F80" s="382">
        <f>TBL_008_Qs_Lot_1[[#This Row],[No.subs]]*500</f>
        <v>0</v>
      </c>
      <c r="G80" s="380" t="str">
        <f>IF(TBL_008_Qs_Lot_1[[#This Row],[Type]]="Question", IF(SQ_Weighted?="Yes", "", "N/A"), "")</f>
        <v>N/A</v>
      </c>
      <c r="H80"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80" s="380">
        <f t="array" ref="I8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80" s="383" t="s">
        <v>209</v>
      </c>
      <c r="K80" s="384" t="s">
        <v>24</v>
      </c>
      <c r="L80" s="385" t="s">
        <v>24</v>
      </c>
      <c r="M80" s="386" t="str">
        <f t="array" ref="M80">INDEX(TBL_003_DocMerge[PAS_or_SQ?], MATCH(1, (Job_No=TBL_003_DocMerge[Job_No])*(Doc_Lot=TBL_003_DocMerge[Lot]),0))</f>
        <v>SQ</v>
      </c>
      <c r="N80" s="387" t="str">
        <f>IF(OR('Project Info'!$B$18="Open Procedure", 'Project Info'!$B$20="SQ"), "Yes", "No")</f>
        <v>Yes</v>
      </c>
    </row>
    <row r="81" spans="1:14" ht="14">
      <c r="A81" s="388" t="str">
        <f>IF(TBL_008_Qs_Lot_1[[#This Row],[Type]]="Question", K82, IF(TBL_008_Qs_Lot_1[[#This Row],[Sub_No]]="N/A", "", CONCATENATE(TBL_008_Qs_Lot_1[[#This Row],[Q_No]], TBL_008_Qs_Lot_1[[#This Row],[Sub_No]])))</f>
        <v>Q6.8.1</v>
      </c>
      <c r="B81" s="388" t="s">
        <v>398</v>
      </c>
      <c r="C81" s="394"/>
      <c r="D81" s="399"/>
      <c r="E81" s="399"/>
      <c r="F81" s="400"/>
      <c r="G81" s="399" t="str">
        <f>IF(TBL_008_Qs_Lot_1[[#This Row],[Type]]="Question", IF(SQ_Weighted?="Yes", "", "N/A"), "")</f>
        <v/>
      </c>
      <c r="H8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1" s="380" t="str">
        <f t="array" ref="I8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1" s="391" t="s">
        <v>779</v>
      </c>
      <c r="K81" s="384" t="s">
        <v>441</v>
      </c>
      <c r="L81" s="392" t="s">
        <v>1037</v>
      </c>
      <c r="M81" s="386" t="str">
        <f t="array" ref="M81">INDEX(TBL_003_DocMerge[PAS_or_SQ?], MATCH(1, (Job_No=TBL_003_DocMerge[Job_No])*(Doc_Lot=TBL_003_DocMerge[Lot]),0))</f>
        <v>SQ</v>
      </c>
      <c r="N81" s="387" t="str">
        <f>IF(OR('Project Info'!$B$18="Open Procedure", 'Project Info'!$B$20="SQ"), "Yes", "No")</f>
        <v>Yes</v>
      </c>
    </row>
    <row r="82" spans="1:14" ht="14">
      <c r="A82" s="388" t="str">
        <f>IF(TBL_008_Qs_Lot_1[[#This Row],[Type]]="Question", K83, IF(TBL_008_Qs_Lot_1[[#This Row],[Sub_No]]="N/A", "", CONCATENATE(TBL_008_Qs_Lot_1[[#This Row],[Q_No]], TBL_008_Qs_Lot_1[[#This Row],[Sub_No]])))</f>
        <v>Q6.8.2</v>
      </c>
      <c r="B82" s="388" t="s">
        <v>398</v>
      </c>
      <c r="C82" s="394"/>
      <c r="D82" s="399"/>
      <c r="E82" s="399"/>
      <c r="F82" s="400"/>
      <c r="G82" s="399" t="str">
        <f>IF(TBL_008_Qs_Lot_1[[#This Row],[Type]]="Question", IF(SQ_Weighted?="Yes", "", "N/A"), "")</f>
        <v/>
      </c>
      <c r="H8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2" s="380" t="str">
        <f t="array" ref="I8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2" s="391" t="s">
        <v>779</v>
      </c>
      <c r="K82" s="384" t="s">
        <v>441</v>
      </c>
      <c r="L82" s="392" t="s">
        <v>1041</v>
      </c>
      <c r="M82" s="386" t="str">
        <f t="array" ref="M82">INDEX(TBL_003_DocMerge[PAS_or_SQ?], MATCH(1, (Job_No=TBL_003_DocMerge[Job_No])*(Doc_Lot=TBL_003_DocMerge[Lot]),0))</f>
        <v>SQ</v>
      </c>
      <c r="N82" s="387" t="str">
        <f>IF(OR('Project Info'!$B$18="Open Procedure", 'Project Info'!$B$20="SQ"), "Yes", "No")</f>
        <v>Yes</v>
      </c>
    </row>
    <row r="83" spans="1:14" ht="14">
      <c r="A83" s="388" t="str">
        <f>IF(TBL_008_Qs_Lot_1[[#This Row],[Type]]="Question", K84, IF(TBL_008_Qs_Lot_1[[#This Row],[Sub_No]]="N/A", "", CONCATENATE(TBL_008_Qs_Lot_1[[#This Row],[Q_No]], TBL_008_Qs_Lot_1[[#This Row],[Sub_No]])))</f>
        <v>Q6.8.3</v>
      </c>
      <c r="B83" s="388" t="s">
        <v>398</v>
      </c>
      <c r="C83" s="394"/>
      <c r="D83" s="399"/>
      <c r="E83" s="399"/>
      <c r="F83" s="400"/>
      <c r="G83" s="399" t="str">
        <f>IF(TBL_008_Qs_Lot_1[[#This Row],[Type]]="Question", IF(SQ_Weighted?="Yes", "", "N/A"), "")</f>
        <v/>
      </c>
      <c r="H8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3" s="380" t="str">
        <f t="array" ref="I8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3" s="391" t="s">
        <v>779</v>
      </c>
      <c r="K83" s="384" t="s">
        <v>441</v>
      </c>
      <c r="L83" s="392" t="s">
        <v>1038</v>
      </c>
      <c r="M83" s="386" t="str">
        <f t="array" ref="M83">INDEX(TBL_003_DocMerge[PAS_or_SQ?], MATCH(1, (Job_No=TBL_003_DocMerge[Job_No])*(Doc_Lot=TBL_003_DocMerge[Lot]),0))</f>
        <v>SQ</v>
      </c>
      <c r="N83" s="387" t="str">
        <f>IF(OR('Project Info'!$B$18="Open Procedure", 'Project Info'!$B$20="SQ"), "Yes", "No")</f>
        <v>Yes</v>
      </c>
    </row>
    <row r="84" spans="1:14" ht="14">
      <c r="A84" s="388" t="str">
        <f>IF(TBL_008_Qs_Lot_1[[#This Row],[Type]]="Question", K85, IF(TBL_008_Qs_Lot_1[[#This Row],[Sub_No]]="N/A", "", CONCATENATE(TBL_008_Qs_Lot_1[[#This Row],[Q_No]], TBL_008_Qs_Lot_1[[#This Row],[Sub_No]])))</f>
        <v>Q6.8.4</v>
      </c>
      <c r="B84" s="388" t="s">
        <v>398</v>
      </c>
      <c r="C84" s="394"/>
      <c r="D84" s="399"/>
      <c r="E84" s="399"/>
      <c r="F84" s="400"/>
      <c r="G84" s="399" t="str">
        <f>IF(TBL_008_Qs_Lot_1[[#This Row],[Type]]="Question", IF(SQ_Weighted?="Yes", "", "N/A"), "")</f>
        <v/>
      </c>
      <c r="H8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4" s="380" t="str">
        <f t="array" ref="I8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4" s="391" t="s">
        <v>779</v>
      </c>
      <c r="K84" s="384" t="s">
        <v>441</v>
      </c>
      <c r="L84" s="392" t="s">
        <v>1039</v>
      </c>
      <c r="M84" s="386" t="str">
        <f t="array" ref="M84">INDEX(TBL_003_DocMerge[PAS_or_SQ?], MATCH(1, (Job_No=TBL_003_DocMerge[Job_No])*(Doc_Lot=TBL_003_DocMerge[Lot]),0))</f>
        <v>SQ</v>
      </c>
      <c r="N84" s="387" t="str">
        <f>IF(OR('Project Info'!$B$18="Open Procedure", 'Project Info'!$B$20="SQ"), "Yes", "No")</f>
        <v>Yes</v>
      </c>
    </row>
    <row r="85" spans="1:14" ht="14">
      <c r="A85" s="388" t="str">
        <f>IF(TBL_008_Qs_Lot_1[[#This Row],[Type]]="Question", K86, IF(TBL_008_Qs_Lot_1[[#This Row],[Sub_No]]="N/A", "", CONCATENATE(TBL_008_Qs_Lot_1[[#This Row],[Q_No]], TBL_008_Qs_Lot_1[[#This Row],[Sub_No]])))</f>
        <v>Q6.8.5</v>
      </c>
      <c r="B85" s="388" t="s">
        <v>398</v>
      </c>
      <c r="C85" s="394"/>
      <c r="D85" s="399"/>
      <c r="E85" s="399"/>
      <c r="F85" s="400"/>
      <c r="G85" s="399" t="str">
        <f>IF(TBL_008_Qs_Lot_1[[#This Row],[Type]]="Question", IF(SQ_Weighted?="Yes", "", "N/A"), "")</f>
        <v/>
      </c>
      <c r="H8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5" s="380" t="str">
        <f t="array" ref="I8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5" s="391" t="s">
        <v>779</v>
      </c>
      <c r="K85" s="384" t="s">
        <v>441</v>
      </c>
      <c r="L85" s="392" t="s">
        <v>1040</v>
      </c>
      <c r="M85" s="386" t="str">
        <f t="array" ref="M85">INDEX(TBL_003_DocMerge[PAS_or_SQ?], MATCH(1, (Job_No=TBL_003_DocMerge[Job_No])*(Doc_Lot=TBL_003_DocMerge[Lot]),0))</f>
        <v>SQ</v>
      </c>
      <c r="N85" s="387" t="str">
        <f>IF(OR('Project Info'!$B$18="Open Procedure", 'Project Info'!$B$20="SQ"), "Yes", "No")</f>
        <v>Yes</v>
      </c>
    </row>
    <row r="86" spans="1:14" ht="14">
      <c r="A86" s="388" t="str">
        <f>IF(TBL_008_Qs_Lot_1[[#This Row],[Type]]="Question", K87, IF(TBL_008_Qs_Lot_1[[#This Row],[Sub_No]]="N/A", "", CONCATENATE(TBL_008_Qs_Lot_1[[#This Row],[Q_No]], TBL_008_Qs_Lot_1[[#This Row],[Sub_No]])))</f>
        <v>Q6.8.6</v>
      </c>
      <c r="B86" s="388" t="s">
        <v>398</v>
      </c>
      <c r="C86" s="394"/>
      <c r="D86" s="399"/>
      <c r="E86" s="399"/>
      <c r="F86" s="400"/>
      <c r="G86" s="399" t="str">
        <f>IF(TBL_008_Qs_Lot_1[[#This Row],[Type]]="Question", IF(SQ_Weighted?="Yes", "", "N/A"), "")</f>
        <v/>
      </c>
      <c r="H8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6" s="380" t="str">
        <f t="array" ref="I8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6" s="391" t="s">
        <v>779</v>
      </c>
      <c r="K86" s="384" t="s">
        <v>441</v>
      </c>
      <c r="L86" s="392" t="s">
        <v>1042</v>
      </c>
      <c r="M86" s="386" t="str">
        <f t="array" ref="M86">INDEX(TBL_003_DocMerge[PAS_or_SQ?], MATCH(1, (Job_No=TBL_003_DocMerge[Job_No])*(Doc_Lot=TBL_003_DocMerge[Lot]),0))</f>
        <v>SQ</v>
      </c>
      <c r="N86" s="387" t="str">
        <f>IF(OR('Project Info'!$B$18="Open Procedure", 'Project Info'!$B$20="SQ"), "Yes", "No")</f>
        <v>Yes</v>
      </c>
    </row>
    <row r="87" spans="1:14" ht="14">
      <c r="A87" s="388" t="str">
        <f>IF(TBL_008_Qs_Lot_1[[#This Row],[Type]]="Question", K88, IF(TBL_008_Qs_Lot_1[[#This Row],[Sub_No]]="N/A", "", CONCATENATE(TBL_008_Qs_Lot_1[[#This Row],[Q_No]], TBL_008_Qs_Lot_1[[#This Row],[Sub_No]])))</f>
        <v>Q6.8.7</v>
      </c>
      <c r="B87" s="388" t="s">
        <v>398</v>
      </c>
      <c r="C87" s="394"/>
      <c r="D87" s="399"/>
      <c r="E87" s="399"/>
      <c r="F87" s="400"/>
      <c r="G87" s="399" t="str">
        <f>IF(TBL_008_Qs_Lot_1[[#This Row],[Type]]="Question", IF(SQ_Weighted?="Yes", "", "N/A"), "")</f>
        <v/>
      </c>
      <c r="H8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7" s="380" t="str">
        <f t="array" ref="I8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7" s="391" t="s">
        <v>779</v>
      </c>
      <c r="K87" s="384" t="s">
        <v>441</v>
      </c>
      <c r="L87" s="392" t="s">
        <v>1043</v>
      </c>
      <c r="M87" s="386" t="str">
        <f t="array" ref="M87">INDEX(TBL_003_DocMerge[PAS_or_SQ?], MATCH(1, (Job_No=TBL_003_DocMerge[Job_No])*(Doc_Lot=TBL_003_DocMerge[Lot]),0))</f>
        <v>SQ</v>
      </c>
      <c r="N87" s="387" t="str">
        <f>IF(OR('Project Info'!$B$18="Open Procedure", 'Project Info'!$B$20="SQ"), "Yes", "No")</f>
        <v>Yes</v>
      </c>
    </row>
    <row r="88" spans="1:14" ht="14">
      <c r="A88" s="388" t="str">
        <f>IF(TBL_008_Qs_Lot_1[[#This Row],[Type]]="Question", K89, IF(TBL_008_Qs_Lot_1[[#This Row],[Sub_No]]="N/A", "", CONCATENATE(TBL_008_Qs_Lot_1[[#This Row],[Q_No]], TBL_008_Qs_Lot_1[[#This Row],[Sub_No]])))</f>
        <v>Q6.8.8</v>
      </c>
      <c r="B88" s="388" t="s">
        <v>398</v>
      </c>
      <c r="C88" s="394"/>
      <c r="D88" s="399"/>
      <c r="E88" s="399"/>
      <c r="F88" s="400"/>
      <c r="G88" s="399" t="str">
        <f>IF(TBL_008_Qs_Lot_1[[#This Row],[Type]]="Question", IF(SQ_Weighted?="Yes", "", "N/A"), "")</f>
        <v/>
      </c>
      <c r="H8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8" s="380" t="str">
        <f t="array" ref="I8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8" s="391" t="s">
        <v>779</v>
      </c>
      <c r="K88" s="384" t="s">
        <v>441</v>
      </c>
      <c r="L88" s="392" t="s">
        <v>1044</v>
      </c>
      <c r="M88" s="386" t="str">
        <f t="array" ref="M88">INDEX(TBL_003_DocMerge[PAS_or_SQ?], MATCH(1, (Job_No=TBL_003_DocMerge[Job_No])*(Doc_Lot=TBL_003_DocMerge[Lot]),0))</f>
        <v>SQ</v>
      </c>
      <c r="N88" s="387" t="str">
        <f>IF(OR('Project Info'!$B$18="Open Procedure", 'Project Info'!$B$20="SQ"), "Yes", "No")</f>
        <v>Yes</v>
      </c>
    </row>
    <row r="89" spans="1:14" ht="14">
      <c r="A89" s="388" t="str">
        <f>IF(TBL_008_Qs_Lot_1[[#This Row],[Type]]="Question", K90, IF(TBL_008_Qs_Lot_1[[#This Row],[Sub_No]]="N/A", "", CONCATENATE(TBL_008_Qs_Lot_1[[#This Row],[Q_No]], TBL_008_Qs_Lot_1[[#This Row],[Sub_No]])))</f>
        <v>Q6.8.9</v>
      </c>
      <c r="B89" s="388" t="s">
        <v>398</v>
      </c>
      <c r="C89" s="394"/>
      <c r="D89" s="399"/>
      <c r="E89" s="399"/>
      <c r="F89" s="400"/>
      <c r="G89" s="399" t="str">
        <f>IF(TBL_008_Qs_Lot_1[[#This Row],[Type]]="Question", IF(SQ_Weighted?="Yes", "", "N/A"), "")</f>
        <v/>
      </c>
      <c r="H8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89" s="380" t="str">
        <f t="array" ref="I8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89" s="391" t="s">
        <v>779</v>
      </c>
      <c r="K89" s="384" t="s">
        <v>441</v>
      </c>
      <c r="L89" s="392" t="s">
        <v>1045</v>
      </c>
      <c r="M89" s="386" t="str">
        <f t="array" ref="M89">INDEX(TBL_003_DocMerge[PAS_or_SQ?], MATCH(1, (Job_No=TBL_003_DocMerge[Job_No])*(Doc_Lot=TBL_003_DocMerge[Lot]),0))</f>
        <v>SQ</v>
      </c>
      <c r="N89" s="387" t="str">
        <f>IF(OR('Project Info'!$B$18="Open Procedure", 'Project Info'!$B$20="SQ"), "Yes", "No")</f>
        <v>Yes</v>
      </c>
    </row>
    <row r="90" spans="1:14" ht="14">
      <c r="A90" s="388" t="str">
        <f>IF(TBL_008_Qs_Lot_1[[#This Row],[Type]]="Question", K91, IF(TBL_008_Qs_Lot_1[[#This Row],[Sub_No]]="N/A", "", CONCATENATE(TBL_008_Qs_Lot_1[[#This Row],[Q_No]], TBL_008_Qs_Lot_1[[#This Row],[Sub_No]])))</f>
        <v>Q6.8.10</v>
      </c>
      <c r="B90" s="388" t="s">
        <v>398</v>
      </c>
      <c r="C90" s="394"/>
      <c r="D90" s="399"/>
      <c r="E90" s="399"/>
      <c r="F90" s="400"/>
      <c r="G90" s="399" t="str">
        <f>IF(TBL_008_Qs_Lot_1[[#This Row],[Type]]="Question", IF(SQ_Weighted?="Yes", "", "N/A"), "")</f>
        <v/>
      </c>
      <c r="H9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0" s="380" t="str">
        <f t="array" ref="I9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0" s="391" t="s">
        <v>779</v>
      </c>
      <c r="K90" s="384" t="s">
        <v>441</v>
      </c>
      <c r="L90" s="392" t="s">
        <v>1046</v>
      </c>
      <c r="M90" s="386" t="str">
        <f t="array" ref="M90">INDEX(TBL_003_DocMerge[PAS_or_SQ?], MATCH(1, (Job_No=TBL_003_DocMerge[Job_No])*(Doc_Lot=TBL_003_DocMerge[Lot]),0))</f>
        <v>SQ</v>
      </c>
      <c r="N90" s="387" t="str">
        <f>IF(OR('Project Info'!$B$18="Open Procedure", 'Project Info'!$B$20="SQ"), "Yes", "No")</f>
        <v>Yes</v>
      </c>
    </row>
    <row r="91" spans="1:14" ht="14">
      <c r="A91" s="378" t="str">
        <f>IF(TBL_008_Qs_Lot_1[[#This Row],[Type]]="Question", K92, IF(TBL_008_Qs_Lot_1[[#This Row],[Sub_No]]="N/A", "", CONCATENATE(TBL_008_Qs_Lot_1[[#This Row],[Q_No]], TBL_008_Qs_Lot_1[[#This Row],[Sub_No]])))</f>
        <v>Q6.9</v>
      </c>
      <c r="B91" s="378" t="s">
        <v>398</v>
      </c>
      <c r="C91" s="398"/>
      <c r="D91" s="380"/>
      <c r="E91" s="398"/>
      <c r="F91" s="382">
        <f>TBL_008_Qs_Lot_1[[#This Row],[No.subs]]*500</f>
        <v>0</v>
      </c>
      <c r="G91" s="380" t="str">
        <f>IF(TBL_008_Qs_Lot_1[[#This Row],[Type]]="Question", IF(SQ_Weighted?="Yes", "", "N/A"), "")</f>
        <v>N/A</v>
      </c>
      <c r="H91"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91" s="380">
        <f t="array" ref="I9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91" s="383" t="s">
        <v>209</v>
      </c>
      <c r="K91" s="384" t="s">
        <v>24</v>
      </c>
      <c r="L91" s="385" t="s">
        <v>24</v>
      </c>
      <c r="M91" s="386" t="str">
        <f t="array" ref="M91">INDEX(TBL_003_DocMerge[PAS_or_SQ?], MATCH(1, (Job_No=TBL_003_DocMerge[Job_No])*(Doc_Lot=TBL_003_DocMerge[Lot]),0))</f>
        <v>SQ</v>
      </c>
      <c r="N91" s="387" t="str">
        <f>IF(OR('Project Info'!$B$18="Open Procedure", 'Project Info'!$B$20="SQ"), "Yes", "No")</f>
        <v>Yes</v>
      </c>
    </row>
    <row r="92" spans="1:14" ht="14">
      <c r="A92" s="388" t="str">
        <f>IF(TBL_008_Qs_Lot_1[[#This Row],[Type]]="Question", K93, IF(TBL_008_Qs_Lot_1[[#This Row],[Sub_No]]="N/A", "", CONCATENATE(TBL_008_Qs_Lot_1[[#This Row],[Q_No]], TBL_008_Qs_Lot_1[[#This Row],[Sub_No]])))</f>
        <v>Q6.9.1</v>
      </c>
      <c r="B92" s="388" t="s">
        <v>398</v>
      </c>
      <c r="C92" s="394"/>
      <c r="D92" s="399"/>
      <c r="E92" s="399"/>
      <c r="F92" s="400"/>
      <c r="G92" s="399" t="str">
        <f>IF(TBL_008_Qs_Lot_1[[#This Row],[Type]]="Question", IF(SQ_Weighted?="Yes", "", "N/A"), "")</f>
        <v/>
      </c>
      <c r="H9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2" s="380" t="str">
        <f t="array" ref="I9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2" s="391" t="s">
        <v>779</v>
      </c>
      <c r="K92" s="384" t="s">
        <v>697</v>
      </c>
      <c r="L92" s="392" t="s">
        <v>1037</v>
      </c>
      <c r="M92" s="386" t="str">
        <f t="array" ref="M92">INDEX(TBL_003_DocMerge[PAS_or_SQ?], MATCH(1, (Job_No=TBL_003_DocMerge[Job_No])*(Doc_Lot=TBL_003_DocMerge[Lot]),0))</f>
        <v>SQ</v>
      </c>
      <c r="N92" s="387" t="str">
        <f>IF(OR('Project Info'!$B$18="Open Procedure", 'Project Info'!$B$20="SQ"), "Yes", "No")</f>
        <v>Yes</v>
      </c>
    </row>
    <row r="93" spans="1:14" ht="14">
      <c r="A93" s="388" t="str">
        <f>IF(TBL_008_Qs_Lot_1[[#This Row],[Type]]="Question", K94, IF(TBL_008_Qs_Lot_1[[#This Row],[Sub_No]]="N/A", "", CONCATENATE(TBL_008_Qs_Lot_1[[#This Row],[Q_No]], TBL_008_Qs_Lot_1[[#This Row],[Sub_No]])))</f>
        <v>Q6.9.2</v>
      </c>
      <c r="B93" s="388" t="s">
        <v>398</v>
      </c>
      <c r="C93" s="394"/>
      <c r="D93" s="399"/>
      <c r="E93" s="399"/>
      <c r="F93" s="400"/>
      <c r="G93" s="399" t="str">
        <f>IF(TBL_008_Qs_Lot_1[[#This Row],[Type]]="Question", IF(SQ_Weighted?="Yes", "", "N/A"), "")</f>
        <v/>
      </c>
      <c r="H9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3" s="380" t="str">
        <f t="array" ref="I9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3" s="391" t="s">
        <v>779</v>
      </c>
      <c r="K93" s="384" t="s">
        <v>697</v>
      </c>
      <c r="L93" s="392" t="s">
        <v>1041</v>
      </c>
      <c r="M93" s="386" t="str">
        <f t="array" ref="M93">INDEX(TBL_003_DocMerge[PAS_or_SQ?], MATCH(1, (Job_No=TBL_003_DocMerge[Job_No])*(Doc_Lot=TBL_003_DocMerge[Lot]),0))</f>
        <v>SQ</v>
      </c>
      <c r="N93" s="387" t="str">
        <f>IF(OR('Project Info'!$B$18="Open Procedure", 'Project Info'!$B$20="SQ"), "Yes", "No")</f>
        <v>Yes</v>
      </c>
    </row>
    <row r="94" spans="1:14" ht="14">
      <c r="A94" s="388" t="str">
        <f>IF(TBL_008_Qs_Lot_1[[#This Row],[Type]]="Question", K95, IF(TBL_008_Qs_Lot_1[[#This Row],[Sub_No]]="N/A", "", CONCATENATE(TBL_008_Qs_Lot_1[[#This Row],[Q_No]], TBL_008_Qs_Lot_1[[#This Row],[Sub_No]])))</f>
        <v>Q6.9.3</v>
      </c>
      <c r="B94" s="388" t="s">
        <v>398</v>
      </c>
      <c r="C94" s="394"/>
      <c r="D94" s="399"/>
      <c r="E94" s="399"/>
      <c r="F94" s="400"/>
      <c r="G94" s="399" t="str">
        <f>IF(TBL_008_Qs_Lot_1[[#This Row],[Type]]="Question", IF(SQ_Weighted?="Yes", "", "N/A"), "")</f>
        <v/>
      </c>
      <c r="H9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4" s="380" t="str">
        <f t="array" ref="I9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4" s="391" t="s">
        <v>779</v>
      </c>
      <c r="K94" s="384" t="s">
        <v>697</v>
      </c>
      <c r="L94" s="392" t="s">
        <v>1038</v>
      </c>
      <c r="M94" s="386" t="str">
        <f t="array" ref="M94">INDEX(TBL_003_DocMerge[PAS_or_SQ?], MATCH(1, (Job_No=TBL_003_DocMerge[Job_No])*(Doc_Lot=TBL_003_DocMerge[Lot]),0))</f>
        <v>SQ</v>
      </c>
      <c r="N94" s="387" t="str">
        <f>IF(OR('Project Info'!$B$18="Open Procedure", 'Project Info'!$B$20="SQ"), "Yes", "No")</f>
        <v>Yes</v>
      </c>
    </row>
    <row r="95" spans="1:14" ht="14">
      <c r="A95" s="388" t="str">
        <f>IF(TBL_008_Qs_Lot_1[[#This Row],[Type]]="Question", K96, IF(TBL_008_Qs_Lot_1[[#This Row],[Sub_No]]="N/A", "", CONCATENATE(TBL_008_Qs_Lot_1[[#This Row],[Q_No]], TBL_008_Qs_Lot_1[[#This Row],[Sub_No]])))</f>
        <v>Q6.9.4</v>
      </c>
      <c r="B95" s="388" t="s">
        <v>398</v>
      </c>
      <c r="C95" s="394"/>
      <c r="D95" s="399"/>
      <c r="E95" s="399"/>
      <c r="F95" s="400"/>
      <c r="G95" s="399" t="str">
        <f>IF(TBL_008_Qs_Lot_1[[#This Row],[Type]]="Question", IF(SQ_Weighted?="Yes", "", "N/A"), "")</f>
        <v/>
      </c>
      <c r="H9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5" s="380" t="str">
        <f t="array" ref="I9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5" s="391" t="s">
        <v>779</v>
      </c>
      <c r="K95" s="384" t="s">
        <v>697</v>
      </c>
      <c r="L95" s="392" t="s">
        <v>1039</v>
      </c>
      <c r="M95" s="386" t="str">
        <f t="array" ref="M95">INDEX(TBL_003_DocMerge[PAS_or_SQ?], MATCH(1, (Job_No=TBL_003_DocMerge[Job_No])*(Doc_Lot=TBL_003_DocMerge[Lot]),0))</f>
        <v>SQ</v>
      </c>
      <c r="N95" s="387" t="str">
        <f>IF(OR('Project Info'!$B$18="Open Procedure", 'Project Info'!$B$20="SQ"), "Yes", "No")</f>
        <v>Yes</v>
      </c>
    </row>
    <row r="96" spans="1:14" ht="14">
      <c r="A96" s="388" t="str">
        <f>IF(TBL_008_Qs_Lot_1[[#This Row],[Type]]="Question", K97, IF(TBL_008_Qs_Lot_1[[#This Row],[Sub_No]]="N/A", "", CONCATENATE(TBL_008_Qs_Lot_1[[#This Row],[Q_No]], TBL_008_Qs_Lot_1[[#This Row],[Sub_No]])))</f>
        <v>Q6.9.5</v>
      </c>
      <c r="B96" s="388" t="s">
        <v>398</v>
      </c>
      <c r="C96" s="394"/>
      <c r="D96" s="399"/>
      <c r="E96" s="399"/>
      <c r="F96" s="400"/>
      <c r="G96" s="399" t="str">
        <f>IF(TBL_008_Qs_Lot_1[[#This Row],[Type]]="Question", IF(SQ_Weighted?="Yes", "", "N/A"), "")</f>
        <v/>
      </c>
      <c r="H9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6" s="380" t="str">
        <f t="array" ref="I9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6" s="391" t="s">
        <v>779</v>
      </c>
      <c r="K96" s="384" t="s">
        <v>697</v>
      </c>
      <c r="L96" s="392" t="s">
        <v>1040</v>
      </c>
      <c r="M96" s="386" t="str">
        <f t="array" ref="M96">INDEX(TBL_003_DocMerge[PAS_or_SQ?], MATCH(1, (Job_No=TBL_003_DocMerge[Job_No])*(Doc_Lot=TBL_003_DocMerge[Lot]),0))</f>
        <v>SQ</v>
      </c>
      <c r="N96" s="387" t="str">
        <f>IF(OR('Project Info'!$B$18="Open Procedure", 'Project Info'!$B$20="SQ"), "Yes", "No")</f>
        <v>Yes</v>
      </c>
    </row>
    <row r="97" spans="1:14" ht="14">
      <c r="A97" s="388" t="str">
        <f>IF(TBL_008_Qs_Lot_1[[#This Row],[Type]]="Question", K98, IF(TBL_008_Qs_Lot_1[[#This Row],[Sub_No]]="N/A", "", CONCATENATE(TBL_008_Qs_Lot_1[[#This Row],[Q_No]], TBL_008_Qs_Lot_1[[#This Row],[Sub_No]])))</f>
        <v>Q6.9.6</v>
      </c>
      <c r="B97" s="388" t="s">
        <v>398</v>
      </c>
      <c r="C97" s="394"/>
      <c r="D97" s="399"/>
      <c r="E97" s="399"/>
      <c r="F97" s="400"/>
      <c r="G97" s="399" t="str">
        <f>IF(TBL_008_Qs_Lot_1[[#This Row],[Type]]="Question", IF(SQ_Weighted?="Yes", "", "N/A"), "")</f>
        <v/>
      </c>
      <c r="H9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7" s="380" t="str">
        <f t="array" ref="I9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7" s="391" t="s">
        <v>779</v>
      </c>
      <c r="K97" s="384" t="s">
        <v>697</v>
      </c>
      <c r="L97" s="392" t="s">
        <v>1042</v>
      </c>
      <c r="M97" s="386" t="str">
        <f t="array" ref="M97">INDEX(TBL_003_DocMerge[PAS_or_SQ?], MATCH(1, (Job_No=TBL_003_DocMerge[Job_No])*(Doc_Lot=TBL_003_DocMerge[Lot]),0))</f>
        <v>SQ</v>
      </c>
      <c r="N97" s="387" t="str">
        <f>IF(OR('Project Info'!$B$18="Open Procedure", 'Project Info'!$B$20="SQ"), "Yes", "No")</f>
        <v>Yes</v>
      </c>
    </row>
    <row r="98" spans="1:14" ht="14">
      <c r="A98" s="388" t="str">
        <f>IF(TBL_008_Qs_Lot_1[[#This Row],[Type]]="Question", K99, IF(TBL_008_Qs_Lot_1[[#This Row],[Sub_No]]="N/A", "", CONCATENATE(TBL_008_Qs_Lot_1[[#This Row],[Q_No]], TBL_008_Qs_Lot_1[[#This Row],[Sub_No]])))</f>
        <v>Q6.9.7</v>
      </c>
      <c r="B98" s="388" t="s">
        <v>398</v>
      </c>
      <c r="C98" s="394"/>
      <c r="D98" s="399"/>
      <c r="E98" s="399"/>
      <c r="F98" s="400"/>
      <c r="G98" s="399" t="str">
        <f>IF(TBL_008_Qs_Lot_1[[#This Row],[Type]]="Question", IF(SQ_Weighted?="Yes", "", "N/A"), "")</f>
        <v/>
      </c>
      <c r="H9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8" s="380" t="str">
        <f t="array" ref="I9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8" s="391" t="s">
        <v>779</v>
      </c>
      <c r="K98" s="384" t="s">
        <v>697</v>
      </c>
      <c r="L98" s="392" t="s">
        <v>1043</v>
      </c>
      <c r="M98" s="386" t="str">
        <f t="array" ref="M98">INDEX(TBL_003_DocMerge[PAS_or_SQ?], MATCH(1, (Job_No=TBL_003_DocMerge[Job_No])*(Doc_Lot=TBL_003_DocMerge[Lot]),0))</f>
        <v>SQ</v>
      </c>
      <c r="N98" s="387" t="str">
        <f>IF(OR('Project Info'!$B$18="Open Procedure", 'Project Info'!$B$20="SQ"), "Yes", "No")</f>
        <v>Yes</v>
      </c>
    </row>
    <row r="99" spans="1:14" ht="14">
      <c r="A99" s="388" t="str">
        <f>IF(TBL_008_Qs_Lot_1[[#This Row],[Type]]="Question", K100, IF(TBL_008_Qs_Lot_1[[#This Row],[Sub_No]]="N/A", "", CONCATENATE(TBL_008_Qs_Lot_1[[#This Row],[Q_No]], TBL_008_Qs_Lot_1[[#This Row],[Sub_No]])))</f>
        <v>Q6.9.8</v>
      </c>
      <c r="B99" s="388" t="s">
        <v>398</v>
      </c>
      <c r="C99" s="394"/>
      <c r="D99" s="399"/>
      <c r="E99" s="399"/>
      <c r="F99" s="400"/>
      <c r="G99" s="399" t="str">
        <f>IF(TBL_008_Qs_Lot_1[[#This Row],[Type]]="Question", IF(SQ_Weighted?="Yes", "", "N/A"), "")</f>
        <v/>
      </c>
      <c r="H9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99" s="380" t="str">
        <f t="array" ref="I9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99" s="391" t="s">
        <v>779</v>
      </c>
      <c r="K99" s="384" t="s">
        <v>697</v>
      </c>
      <c r="L99" s="392" t="s">
        <v>1044</v>
      </c>
      <c r="M99" s="386" t="str">
        <f t="array" ref="M99">INDEX(TBL_003_DocMerge[PAS_or_SQ?], MATCH(1, (Job_No=TBL_003_DocMerge[Job_No])*(Doc_Lot=TBL_003_DocMerge[Lot]),0))</f>
        <v>SQ</v>
      </c>
      <c r="N99" s="387" t="str">
        <f>IF(OR('Project Info'!$B$18="Open Procedure", 'Project Info'!$B$20="SQ"), "Yes", "No")</f>
        <v>Yes</v>
      </c>
    </row>
    <row r="100" spans="1:14" ht="14">
      <c r="A100" s="388" t="str">
        <f>IF(TBL_008_Qs_Lot_1[[#This Row],[Type]]="Question", K101, IF(TBL_008_Qs_Lot_1[[#This Row],[Sub_No]]="N/A", "", CONCATENATE(TBL_008_Qs_Lot_1[[#This Row],[Q_No]], TBL_008_Qs_Lot_1[[#This Row],[Sub_No]])))</f>
        <v>Q6.9.9</v>
      </c>
      <c r="B100" s="388" t="s">
        <v>398</v>
      </c>
      <c r="C100" s="394"/>
      <c r="D100" s="399"/>
      <c r="E100" s="399"/>
      <c r="F100" s="400"/>
      <c r="G100" s="399" t="str">
        <f>IF(TBL_008_Qs_Lot_1[[#This Row],[Type]]="Question", IF(SQ_Weighted?="Yes", "", "N/A"), "")</f>
        <v/>
      </c>
      <c r="H10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0" s="380" t="str">
        <f t="array" ref="I10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0" s="391" t="s">
        <v>779</v>
      </c>
      <c r="K100" s="384" t="s">
        <v>697</v>
      </c>
      <c r="L100" s="392" t="s">
        <v>1045</v>
      </c>
      <c r="M100" s="386" t="str">
        <f t="array" ref="M100">INDEX(TBL_003_DocMerge[PAS_or_SQ?], MATCH(1, (Job_No=TBL_003_DocMerge[Job_No])*(Doc_Lot=TBL_003_DocMerge[Lot]),0))</f>
        <v>SQ</v>
      </c>
      <c r="N100" s="387" t="str">
        <f>IF(OR('Project Info'!$B$18="Open Procedure", 'Project Info'!$B$20="SQ"), "Yes", "No")</f>
        <v>Yes</v>
      </c>
    </row>
    <row r="101" spans="1:14" ht="14">
      <c r="A101" s="388" t="str">
        <f>IF(TBL_008_Qs_Lot_1[[#This Row],[Type]]="Question", K102, IF(TBL_008_Qs_Lot_1[[#This Row],[Sub_No]]="N/A", "", CONCATENATE(TBL_008_Qs_Lot_1[[#This Row],[Q_No]], TBL_008_Qs_Lot_1[[#This Row],[Sub_No]])))</f>
        <v>Q6.9.10</v>
      </c>
      <c r="B101" s="388" t="s">
        <v>398</v>
      </c>
      <c r="C101" s="394"/>
      <c r="D101" s="399"/>
      <c r="E101" s="399"/>
      <c r="F101" s="400"/>
      <c r="G101" s="399" t="str">
        <f>IF(TBL_008_Qs_Lot_1[[#This Row],[Type]]="Question", IF(SQ_Weighted?="Yes", "", "N/A"), "")</f>
        <v/>
      </c>
      <c r="H10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1" s="380" t="str">
        <f t="array" ref="I10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1" s="391" t="s">
        <v>779</v>
      </c>
      <c r="K101" s="384" t="s">
        <v>697</v>
      </c>
      <c r="L101" s="392" t="s">
        <v>1046</v>
      </c>
      <c r="M101" s="386" t="str">
        <f t="array" ref="M101">INDEX(TBL_003_DocMerge[PAS_or_SQ?], MATCH(1, (Job_No=TBL_003_DocMerge[Job_No])*(Doc_Lot=TBL_003_DocMerge[Lot]),0))</f>
        <v>SQ</v>
      </c>
      <c r="N101" s="387" t="str">
        <f>IF(OR('Project Info'!$B$18="Open Procedure", 'Project Info'!$B$20="SQ"), "Yes", "No")</f>
        <v>Yes</v>
      </c>
    </row>
    <row r="102" spans="1:14" ht="14">
      <c r="A102" s="378" t="str">
        <f>IF(TBL_008_Qs_Lot_1[[#This Row],[Type]]="Question", K103, IF(TBL_008_Qs_Lot_1[[#This Row],[Sub_No]]="N/A", "", CONCATENATE(TBL_008_Qs_Lot_1[[#This Row],[Q_No]], TBL_008_Qs_Lot_1[[#This Row],[Sub_No]])))</f>
        <v>Q6.10</v>
      </c>
      <c r="B102" s="378" t="s">
        <v>398</v>
      </c>
      <c r="C102" s="398"/>
      <c r="D102" s="380"/>
      <c r="E102" s="398"/>
      <c r="F102" s="382">
        <f>TBL_008_Qs_Lot_1[[#This Row],[No.subs]]*500</f>
        <v>0</v>
      </c>
      <c r="G102" s="380" t="str">
        <f>IF(TBL_008_Qs_Lot_1[[#This Row],[Type]]="Question", IF(SQ_Weighted?="Yes", "", "N/A"), "")</f>
        <v>N/A</v>
      </c>
      <c r="H102"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02" s="380">
        <f t="array" ref="I10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02" s="383" t="s">
        <v>209</v>
      </c>
      <c r="K102" s="384" t="s">
        <v>24</v>
      </c>
      <c r="L102" s="385" t="s">
        <v>24</v>
      </c>
      <c r="M102" s="386" t="str">
        <f t="array" ref="M102">INDEX(TBL_003_DocMerge[PAS_or_SQ?], MATCH(1, (Job_No=TBL_003_DocMerge[Job_No])*(Doc_Lot=TBL_003_DocMerge[Lot]),0))</f>
        <v>SQ</v>
      </c>
      <c r="N102" s="387" t="str">
        <f>IF(OR('Project Info'!$B$18="Open Procedure", 'Project Info'!$B$20="SQ"), "Yes", "No")</f>
        <v>Yes</v>
      </c>
    </row>
    <row r="103" spans="1:14" ht="14">
      <c r="A103" s="388" t="str">
        <f>IF(TBL_008_Qs_Lot_1[[#This Row],[Type]]="Question", K104, IF(TBL_008_Qs_Lot_1[[#This Row],[Sub_No]]="N/A", "", CONCATENATE(TBL_008_Qs_Lot_1[[#This Row],[Q_No]], TBL_008_Qs_Lot_1[[#This Row],[Sub_No]])))</f>
        <v>Q6.10.1</v>
      </c>
      <c r="B103" s="388" t="s">
        <v>398</v>
      </c>
      <c r="C103" s="394"/>
      <c r="D103" s="399"/>
      <c r="E103" s="399"/>
      <c r="F103" s="400"/>
      <c r="G103" s="399" t="str">
        <f>IF(TBL_008_Qs_Lot_1[[#This Row],[Type]]="Question", IF(SQ_Weighted?="Yes", "", "N/A"), "")</f>
        <v/>
      </c>
      <c r="H10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3" s="380" t="str">
        <f t="array" ref="I10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3" s="391" t="s">
        <v>779</v>
      </c>
      <c r="K103" s="384" t="s">
        <v>708</v>
      </c>
      <c r="L103" s="392" t="s">
        <v>1037</v>
      </c>
      <c r="M103" s="386" t="str">
        <f t="array" ref="M103">INDEX(TBL_003_DocMerge[PAS_or_SQ?], MATCH(1, (Job_No=TBL_003_DocMerge[Job_No])*(Doc_Lot=TBL_003_DocMerge[Lot]),0))</f>
        <v>SQ</v>
      </c>
      <c r="N103" s="387" t="str">
        <f>IF(OR('Project Info'!$B$18="Open Procedure", 'Project Info'!$B$20="SQ"), "Yes", "No")</f>
        <v>Yes</v>
      </c>
    </row>
    <row r="104" spans="1:14" ht="14">
      <c r="A104" s="388" t="str">
        <f>IF(TBL_008_Qs_Lot_1[[#This Row],[Type]]="Question", K105, IF(TBL_008_Qs_Lot_1[[#This Row],[Sub_No]]="N/A", "", CONCATENATE(TBL_008_Qs_Lot_1[[#This Row],[Q_No]], TBL_008_Qs_Lot_1[[#This Row],[Sub_No]])))</f>
        <v>Q6.10.2</v>
      </c>
      <c r="B104" s="388" t="s">
        <v>398</v>
      </c>
      <c r="C104" s="394"/>
      <c r="D104" s="399"/>
      <c r="E104" s="399"/>
      <c r="F104" s="400"/>
      <c r="G104" s="399" t="str">
        <f>IF(TBL_008_Qs_Lot_1[[#This Row],[Type]]="Question", IF(SQ_Weighted?="Yes", "", "N/A"), "")</f>
        <v/>
      </c>
      <c r="H10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4" s="380" t="str">
        <f t="array" ref="I10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4" s="391" t="s">
        <v>779</v>
      </c>
      <c r="K104" s="384" t="s">
        <v>708</v>
      </c>
      <c r="L104" s="392" t="s">
        <v>1041</v>
      </c>
      <c r="M104" s="386" t="str">
        <f t="array" ref="M104">INDEX(TBL_003_DocMerge[PAS_or_SQ?], MATCH(1, (Job_No=TBL_003_DocMerge[Job_No])*(Doc_Lot=TBL_003_DocMerge[Lot]),0))</f>
        <v>SQ</v>
      </c>
      <c r="N104" s="387" t="str">
        <f>IF(OR('Project Info'!$B$18="Open Procedure", 'Project Info'!$B$20="SQ"), "Yes", "No")</f>
        <v>Yes</v>
      </c>
    </row>
    <row r="105" spans="1:14" ht="14">
      <c r="A105" s="388" t="str">
        <f>IF(TBL_008_Qs_Lot_1[[#This Row],[Type]]="Question", K106, IF(TBL_008_Qs_Lot_1[[#This Row],[Sub_No]]="N/A", "", CONCATENATE(TBL_008_Qs_Lot_1[[#This Row],[Q_No]], TBL_008_Qs_Lot_1[[#This Row],[Sub_No]])))</f>
        <v>Q6.10.3</v>
      </c>
      <c r="B105" s="388" t="s">
        <v>398</v>
      </c>
      <c r="C105" s="394"/>
      <c r="D105" s="399"/>
      <c r="E105" s="399"/>
      <c r="F105" s="400"/>
      <c r="G105" s="399" t="str">
        <f>IF(TBL_008_Qs_Lot_1[[#This Row],[Type]]="Question", IF(SQ_Weighted?="Yes", "", "N/A"), "")</f>
        <v/>
      </c>
      <c r="H10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5" s="380" t="str">
        <f t="array" ref="I10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5" s="391" t="s">
        <v>779</v>
      </c>
      <c r="K105" s="384" t="s">
        <v>708</v>
      </c>
      <c r="L105" s="392" t="s">
        <v>1038</v>
      </c>
      <c r="M105" s="386" t="str">
        <f t="array" ref="M105">INDEX(TBL_003_DocMerge[PAS_or_SQ?], MATCH(1, (Job_No=TBL_003_DocMerge[Job_No])*(Doc_Lot=TBL_003_DocMerge[Lot]),0))</f>
        <v>SQ</v>
      </c>
      <c r="N105" s="387" t="str">
        <f>IF(OR('Project Info'!$B$18="Open Procedure", 'Project Info'!$B$20="SQ"), "Yes", "No")</f>
        <v>Yes</v>
      </c>
    </row>
    <row r="106" spans="1:14" ht="14">
      <c r="A106" s="388" t="str">
        <f>IF(TBL_008_Qs_Lot_1[[#This Row],[Type]]="Question", K107, IF(TBL_008_Qs_Lot_1[[#This Row],[Sub_No]]="N/A", "", CONCATENATE(TBL_008_Qs_Lot_1[[#This Row],[Q_No]], TBL_008_Qs_Lot_1[[#This Row],[Sub_No]])))</f>
        <v>Q6.10.4</v>
      </c>
      <c r="B106" s="388" t="s">
        <v>398</v>
      </c>
      <c r="C106" s="394"/>
      <c r="D106" s="399"/>
      <c r="E106" s="399"/>
      <c r="F106" s="400"/>
      <c r="G106" s="399" t="str">
        <f>IF(TBL_008_Qs_Lot_1[[#This Row],[Type]]="Question", IF(SQ_Weighted?="Yes", "", "N/A"), "")</f>
        <v/>
      </c>
      <c r="H10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6" s="380" t="str">
        <f t="array" ref="I10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6" s="391" t="s">
        <v>779</v>
      </c>
      <c r="K106" s="384" t="s">
        <v>708</v>
      </c>
      <c r="L106" s="392" t="s">
        <v>1039</v>
      </c>
      <c r="M106" s="386" t="str">
        <f t="array" ref="M106">INDEX(TBL_003_DocMerge[PAS_or_SQ?], MATCH(1, (Job_No=TBL_003_DocMerge[Job_No])*(Doc_Lot=TBL_003_DocMerge[Lot]),0))</f>
        <v>SQ</v>
      </c>
      <c r="N106" s="387" t="str">
        <f>IF(OR('Project Info'!$B$18="Open Procedure", 'Project Info'!$B$20="SQ"), "Yes", "No")</f>
        <v>Yes</v>
      </c>
    </row>
    <row r="107" spans="1:14" ht="14">
      <c r="A107" s="388" t="str">
        <f>IF(TBL_008_Qs_Lot_1[[#This Row],[Type]]="Question", K108, IF(TBL_008_Qs_Lot_1[[#This Row],[Sub_No]]="N/A", "", CONCATENATE(TBL_008_Qs_Lot_1[[#This Row],[Q_No]], TBL_008_Qs_Lot_1[[#This Row],[Sub_No]])))</f>
        <v>Q6.10.5</v>
      </c>
      <c r="B107" s="388" t="s">
        <v>398</v>
      </c>
      <c r="C107" s="394"/>
      <c r="D107" s="399"/>
      <c r="E107" s="399"/>
      <c r="F107" s="400"/>
      <c r="G107" s="399" t="str">
        <f>IF(TBL_008_Qs_Lot_1[[#This Row],[Type]]="Question", IF(SQ_Weighted?="Yes", "", "N/A"), "")</f>
        <v/>
      </c>
      <c r="H10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7" s="380" t="str">
        <f t="array" ref="I10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7" s="391" t="s">
        <v>779</v>
      </c>
      <c r="K107" s="384" t="s">
        <v>708</v>
      </c>
      <c r="L107" s="392" t="s">
        <v>1040</v>
      </c>
      <c r="M107" s="386" t="str">
        <f t="array" ref="M107">INDEX(TBL_003_DocMerge[PAS_or_SQ?], MATCH(1, (Job_No=TBL_003_DocMerge[Job_No])*(Doc_Lot=TBL_003_DocMerge[Lot]),0))</f>
        <v>SQ</v>
      </c>
      <c r="N107" s="387" t="str">
        <f>IF(OR('Project Info'!$B$18="Open Procedure", 'Project Info'!$B$20="SQ"), "Yes", "No")</f>
        <v>Yes</v>
      </c>
    </row>
    <row r="108" spans="1:14" ht="14">
      <c r="A108" s="388" t="str">
        <f>IF(TBL_008_Qs_Lot_1[[#This Row],[Type]]="Question", K109, IF(TBL_008_Qs_Lot_1[[#This Row],[Sub_No]]="N/A", "", CONCATENATE(TBL_008_Qs_Lot_1[[#This Row],[Q_No]], TBL_008_Qs_Lot_1[[#This Row],[Sub_No]])))</f>
        <v>Q6.10.6</v>
      </c>
      <c r="B108" s="388" t="s">
        <v>398</v>
      </c>
      <c r="C108" s="394"/>
      <c r="D108" s="399"/>
      <c r="E108" s="399"/>
      <c r="F108" s="400"/>
      <c r="G108" s="399" t="str">
        <f>IF(TBL_008_Qs_Lot_1[[#This Row],[Type]]="Question", IF(SQ_Weighted?="Yes", "", "N/A"), "")</f>
        <v/>
      </c>
      <c r="H10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8" s="380" t="str">
        <f t="array" ref="I10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8" s="391" t="s">
        <v>779</v>
      </c>
      <c r="K108" s="384" t="s">
        <v>708</v>
      </c>
      <c r="L108" s="392" t="s">
        <v>1042</v>
      </c>
      <c r="M108" s="386" t="str">
        <f t="array" ref="M108">INDEX(TBL_003_DocMerge[PAS_or_SQ?], MATCH(1, (Job_No=TBL_003_DocMerge[Job_No])*(Doc_Lot=TBL_003_DocMerge[Lot]),0))</f>
        <v>SQ</v>
      </c>
      <c r="N108" s="387" t="str">
        <f>IF(OR('Project Info'!$B$18="Open Procedure", 'Project Info'!$B$20="SQ"), "Yes", "No")</f>
        <v>Yes</v>
      </c>
    </row>
    <row r="109" spans="1:14" ht="14">
      <c r="A109" s="388" t="str">
        <f>IF(TBL_008_Qs_Lot_1[[#This Row],[Type]]="Question", K110, IF(TBL_008_Qs_Lot_1[[#This Row],[Sub_No]]="N/A", "", CONCATENATE(TBL_008_Qs_Lot_1[[#This Row],[Q_No]], TBL_008_Qs_Lot_1[[#This Row],[Sub_No]])))</f>
        <v>Q6.10.7</v>
      </c>
      <c r="B109" s="388" t="s">
        <v>398</v>
      </c>
      <c r="C109" s="394"/>
      <c r="D109" s="399"/>
      <c r="E109" s="399"/>
      <c r="F109" s="400"/>
      <c r="G109" s="399" t="str">
        <f>IF(TBL_008_Qs_Lot_1[[#This Row],[Type]]="Question", IF(SQ_Weighted?="Yes", "", "N/A"), "")</f>
        <v/>
      </c>
      <c r="H10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09" s="380" t="str">
        <f t="array" ref="I10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09" s="391" t="s">
        <v>779</v>
      </c>
      <c r="K109" s="384" t="s">
        <v>708</v>
      </c>
      <c r="L109" s="392" t="s">
        <v>1043</v>
      </c>
      <c r="M109" s="386" t="str">
        <f t="array" ref="M109">INDEX(TBL_003_DocMerge[PAS_or_SQ?], MATCH(1, (Job_No=TBL_003_DocMerge[Job_No])*(Doc_Lot=TBL_003_DocMerge[Lot]),0))</f>
        <v>SQ</v>
      </c>
      <c r="N109" s="387" t="str">
        <f>IF(OR('Project Info'!$B$18="Open Procedure", 'Project Info'!$B$20="SQ"), "Yes", "No")</f>
        <v>Yes</v>
      </c>
    </row>
    <row r="110" spans="1:14" ht="14">
      <c r="A110" s="388" t="str">
        <f>IF(TBL_008_Qs_Lot_1[[#This Row],[Type]]="Question", K111, IF(TBL_008_Qs_Lot_1[[#This Row],[Sub_No]]="N/A", "", CONCATENATE(TBL_008_Qs_Lot_1[[#This Row],[Q_No]], TBL_008_Qs_Lot_1[[#This Row],[Sub_No]])))</f>
        <v>Q6.10.8</v>
      </c>
      <c r="B110" s="388" t="s">
        <v>398</v>
      </c>
      <c r="C110" s="394"/>
      <c r="D110" s="399"/>
      <c r="E110" s="399"/>
      <c r="F110" s="400"/>
      <c r="G110" s="399" t="str">
        <f>IF(TBL_008_Qs_Lot_1[[#This Row],[Type]]="Question", IF(SQ_Weighted?="Yes", "", "N/A"), "")</f>
        <v/>
      </c>
      <c r="H11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0" s="380" t="str">
        <f t="array" ref="I1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0" s="391" t="s">
        <v>779</v>
      </c>
      <c r="K110" s="384" t="s">
        <v>708</v>
      </c>
      <c r="L110" s="392" t="s">
        <v>1044</v>
      </c>
      <c r="M110" s="386" t="str">
        <f t="array" ref="M110">INDEX(TBL_003_DocMerge[PAS_or_SQ?], MATCH(1, (Job_No=TBL_003_DocMerge[Job_No])*(Doc_Lot=TBL_003_DocMerge[Lot]),0))</f>
        <v>SQ</v>
      </c>
      <c r="N110" s="387" t="str">
        <f>IF(OR('Project Info'!$B$18="Open Procedure", 'Project Info'!$B$20="SQ"), "Yes", "No")</f>
        <v>Yes</v>
      </c>
    </row>
    <row r="111" spans="1:14" ht="14">
      <c r="A111" s="388" t="str">
        <f>IF(TBL_008_Qs_Lot_1[[#This Row],[Type]]="Question", K112, IF(TBL_008_Qs_Lot_1[[#This Row],[Sub_No]]="N/A", "", CONCATENATE(TBL_008_Qs_Lot_1[[#This Row],[Q_No]], TBL_008_Qs_Lot_1[[#This Row],[Sub_No]])))</f>
        <v>Q6.10.9</v>
      </c>
      <c r="B111" s="388" t="s">
        <v>398</v>
      </c>
      <c r="C111" s="394"/>
      <c r="D111" s="399"/>
      <c r="E111" s="399"/>
      <c r="F111" s="400"/>
      <c r="G111" s="399" t="str">
        <f>IF(TBL_008_Qs_Lot_1[[#This Row],[Type]]="Question", IF(SQ_Weighted?="Yes", "", "N/A"), "")</f>
        <v/>
      </c>
      <c r="H11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1" s="380" t="str">
        <f t="array" ref="I1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1" s="391" t="s">
        <v>779</v>
      </c>
      <c r="K111" s="384" t="s">
        <v>708</v>
      </c>
      <c r="L111" s="392" t="s">
        <v>1045</v>
      </c>
      <c r="M111" s="386" t="str">
        <f t="array" ref="M111">INDEX(TBL_003_DocMerge[PAS_or_SQ?], MATCH(1, (Job_No=TBL_003_DocMerge[Job_No])*(Doc_Lot=TBL_003_DocMerge[Lot]),0))</f>
        <v>SQ</v>
      </c>
      <c r="N111" s="387" t="str">
        <f>IF(OR('Project Info'!$B$18="Open Procedure", 'Project Info'!$B$20="SQ"), "Yes", "No")</f>
        <v>Yes</v>
      </c>
    </row>
    <row r="112" spans="1:14" ht="14">
      <c r="A112" s="388" t="str">
        <f>IF(TBL_008_Qs_Lot_1[[#This Row],[Type]]="Question", K113, IF(TBL_008_Qs_Lot_1[[#This Row],[Sub_No]]="N/A", "", CONCATENATE(TBL_008_Qs_Lot_1[[#This Row],[Q_No]], TBL_008_Qs_Lot_1[[#This Row],[Sub_No]])))</f>
        <v>Q6.10.10</v>
      </c>
      <c r="B112" s="388" t="s">
        <v>398</v>
      </c>
      <c r="C112" s="394"/>
      <c r="D112" s="399"/>
      <c r="E112" s="399"/>
      <c r="F112" s="400"/>
      <c r="G112" s="399" t="str">
        <f>IF(TBL_008_Qs_Lot_1[[#This Row],[Type]]="Question", IF(SQ_Weighted?="Yes", "", "N/A"), "")</f>
        <v/>
      </c>
      <c r="H11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2" s="380" t="str">
        <f t="array" ref="I1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2" s="391" t="s">
        <v>779</v>
      </c>
      <c r="K112" s="384" t="s">
        <v>708</v>
      </c>
      <c r="L112" s="392" t="s">
        <v>1046</v>
      </c>
      <c r="M112" s="386" t="str">
        <f t="array" ref="M112">INDEX(TBL_003_DocMerge[PAS_or_SQ?], MATCH(1, (Job_No=TBL_003_DocMerge[Job_No])*(Doc_Lot=TBL_003_DocMerge[Lot]),0))</f>
        <v>SQ</v>
      </c>
      <c r="N112" s="387" t="str">
        <f>IF(OR('Project Info'!$B$18="Open Procedure", 'Project Info'!$B$20="SQ"), "Yes", "No")</f>
        <v>Yes</v>
      </c>
    </row>
    <row r="113" spans="1:14" ht="14">
      <c r="A113" s="378" t="str">
        <f>IF(TBL_008_Qs_Lot_1[[#This Row],[Type]]="Question", K114, IF(TBL_008_Qs_Lot_1[[#This Row],[Sub_No]]="N/A", "", CONCATENATE(TBL_008_Qs_Lot_1[[#This Row],[Q_No]], TBL_008_Qs_Lot_1[[#This Row],[Sub_No]])))</f>
        <v>Q6.11</v>
      </c>
      <c r="B113" s="378" t="s">
        <v>398</v>
      </c>
      <c r="C113" s="398"/>
      <c r="D113" s="380"/>
      <c r="E113" s="398"/>
      <c r="F113" s="382">
        <f>TBL_008_Qs_Lot_1[[#This Row],[No.subs]]*500</f>
        <v>0</v>
      </c>
      <c r="G113" s="380" t="str">
        <f>IF(TBL_008_Qs_Lot_1[[#This Row],[Type]]="Question", IF(SQ_Weighted?="Yes", "", "N/A"), "")</f>
        <v>N/A</v>
      </c>
      <c r="H113"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13" s="380">
        <f t="array" ref="I11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13" s="383" t="s">
        <v>209</v>
      </c>
      <c r="K113" s="384" t="s">
        <v>24</v>
      </c>
      <c r="L113" s="385" t="s">
        <v>24</v>
      </c>
      <c r="M113" s="386" t="str">
        <f t="array" ref="M113">INDEX(TBL_003_DocMerge[PAS_or_SQ?], MATCH(1, (Job_No=TBL_003_DocMerge[Job_No])*(Doc_Lot=TBL_003_DocMerge[Lot]),0))</f>
        <v>SQ</v>
      </c>
      <c r="N113" s="387" t="str">
        <f>IF(OR('Project Info'!$B$18="Open Procedure", 'Project Info'!$B$20="SQ"), "Yes", "No")</f>
        <v>Yes</v>
      </c>
    </row>
    <row r="114" spans="1:14" ht="14">
      <c r="A114" s="388" t="str">
        <f>IF(TBL_008_Qs_Lot_1[[#This Row],[Type]]="Question", K115, IF(TBL_008_Qs_Lot_1[[#This Row],[Sub_No]]="N/A", "", CONCATENATE(TBL_008_Qs_Lot_1[[#This Row],[Q_No]], TBL_008_Qs_Lot_1[[#This Row],[Sub_No]])))</f>
        <v>Q6.11.1</v>
      </c>
      <c r="B114" s="388" t="s">
        <v>398</v>
      </c>
      <c r="C114" s="394"/>
      <c r="D114" s="399"/>
      <c r="E114" s="399"/>
      <c r="F114" s="400"/>
      <c r="G114" s="399" t="str">
        <f>IF(TBL_008_Qs_Lot_1[[#This Row],[Type]]="Question", IF(SQ_Weighted?="Yes", "", "N/A"), "")</f>
        <v/>
      </c>
      <c r="H11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4" s="380" t="str">
        <f t="array" ref="I11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4" s="391" t="s">
        <v>779</v>
      </c>
      <c r="K114" s="384" t="s">
        <v>719</v>
      </c>
      <c r="L114" s="392" t="s">
        <v>1037</v>
      </c>
      <c r="M114" s="386" t="str">
        <f t="array" ref="M114">INDEX(TBL_003_DocMerge[PAS_or_SQ?], MATCH(1, (Job_No=TBL_003_DocMerge[Job_No])*(Doc_Lot=TBL_003_DocMerge[Lot]),0))</f>
        <v>SQ</v>
      </c>
      <c r="N114" s="387" t="str">
        <f>IF(OR('Project Info'!$B$18="Open Procedure", 'Project Info'!$B$20="SQ"), "Yes", "No")</f>
        <v>Yes</v>
      </c>
    </row>
    <row r="115" spans="1:14" ht="14">
      <c r="A115" s="388" t="str">
        <f>IF(TBL_008_Qs_Lot_1[[#This Row],[Type]]="Question", K116, IF(TBL_008_Qs_Lot_1[[#This Row],[Sub_No]]="N/A", "", CONCATENATE(TBL_008_Qs_Lot_1[[#This Row],[Q_No]], TBL_008_Qs_Lot_1[[#This Row],[Sub_No]])))</f>
        <v>Q6.11.2</v>
      </c>
      <c r="B115" s="388" t="s">
        <v>398</v>
      </c>
      <c r="C115" s="394"/>
      <c r="D115" s="399"/>
      <c r="E115" s="399"/>
      <c r="F115" s="400"/>
      <c r="G115" s="399" t="str">
        <f>IF(TBL_008_Qs_Lot_1[[#This Row],[Type]]="Question", IF(SQ_Weighted?="Yes", "", "N/A"), "")</f>
        <v/>
      </c>
      <c r="H11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5" s="380" t="str">
        <f t="array" ref="I11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5" s="391" t="s">
        <v>779</v>
      </c>
      <c r="K115" s="384" t="s">
        <v>719</v>
      </c>
      <c r="L115" s="392" t="s">
        <v>1041</v>
      </c>
      <c r="M115" s="386" t="str">
        <f t="array" ref="M115">INDEX(TBL_003_DocMerge[PAS_or_SQ?], MATCH(1, (Job_No=TBL_003_DocMerge[Job_No])*(Doc_Lot=TBL_003_DocMerge[Lot]),0))</f>
        <v>SQ</v>
      </c>
      <c r="N115" s="387" t="str">
        <f>IF(OR('Project Info'!$B$18="Open Procedure", 'Project Info'!$B$20="SQ"), "Yes", "No")</f>
        <v>Yes</v>
      </c>
    </row>
    <row r="116" spans="1:14" ht="14">
      <c r="A116" s="388" t="str">
        <f>IF(TBL_008_Qs_Lot_1[[#This Row],[Type]]="Question", K117, IF(TBL_008_Qs_Lot_1[[#This Row],[Sub_No]]="N/A", "", CONCATENATE(TBL_008_Qs_Lot_1[[#This Row],[Q_No]], TBL_008_Qs_Lot_1[[#This Row],[Sub_No]])))</f>
        <v>Q6.11.3</v>
      </c>
      <c r="B116" s="388" t="s">
        <v>398</v>
      </c>
      <c r="C116" s="394"/>
      <c r="D116" s="399"/>
      <c r="E116" s="399"/>
      <c r="F116" s="400"/>
      <c r="G116" s="399" t="str">
        <f>IF(TBL_008_Qs_Lot_1[[#This Row],[Type]]="Question", IF(SQ_Weighted?="Yes", "", "N/A"), "")</f>
        <v/>
      </c>
      <c r="H11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6" s="380" t="str">
        <f t="array" ref="I11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6" s="391" t="s">
        <v>779</v>
      </c>
      <c r="K116" s="384" t="s">
        <v>719</v>
      </c>
      <c r="L116" s="392" t="s">
        <v>1038</v>
      </c>
      <c r="M116" s="386" t="str">
        <f t="array" ref="M116">INDEX(TBL_003_DocMerge[PAS_or_SQ?], MATCH(1, (Job_No=TBL_003_DocMerge[Job_No])*(Doc_Lot=TBL_003_DocMerge[Lot]),0))</f>
        <v>SQ</v>
      </c>
      <c r="N116" s="387" t="str">
        <f>IF(OR('Project Info'!$B$18="Open Procedure", 'Project Info'!$B$20="SQ"), "Yes", "No")</f>
        <v>Yes</v>
      </c>
    </row>
    <row r="117" spans="1:14" ht="14">
      <c r="A117" s="388" t="str">
        <f>IF(TBL_008_Qs_Lot_1[[#This Row],[Type]]="Question", K118, IF(TBL_008_Qs_Lot_1[[#This Row],[Sub_No]]="N/A", "", CONCATENATE(TBL_008_Qs_Lot_1[[#This Row],[Q_No]], TBL_008_Qs_Lot_1[[#This Row],[Sub_No]])))</f>
        <v>Q6.11.4</v>
      </c>
      <c r="B117" s="388" t="s">
        <v>398</v>
      </c>
      <c r="C117" s="394"/>
      <c r="D117" s="399"/>
      <c r="E117" s="399"/>
      <c r="F117" s="400"/>
      <c r="G117" s="399" t="str">
        <f>IF(TBL_008_Qs_Lot_1[[#This Row],[Type]]="Question", IF(SQ_Weighted?="Yes", "", "N/A"), "")</f>
        <v/>
      </c>
      <c r="H11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7" s="380" t="str">
        <f t="array" ref="I11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7" s="391" t="s">
        <v>779</v>
      </c>
      <c r="K117" s="384" t="s">
        <v>719</v>
      </c>
      <c r="L117" s="392" t="s">
        <v>1039</v>
      </c>
      <c r="M117" s="386" t="str">
        <f t="array" ref="M117">INDEX(TBL_003_DocMerge[PAS_or_SQ?], MATCH(1, (Job_No=TBL_003_DocMerge[Job_No])*(Doc_Lot=TBL_003_DocMerge[Lot]),0))</f>
        <v>SQ</v>
      </c>
      <c r="N117" s="387" t="str">
        <f>IF(OR('Project Info'!$B$18="Open Procedure", 'Project Info'!$B$20="SQ"), "Yes", "No")</f>
        <v>Yes</v>
      </c>
    </row>
    <row r="118" spans="1:14" ht="14">
      <c r="A118" s="388" t="str">
        <f>IF(TBL_008_Qs_Lot_1[[#This Row],[Type]]="Question", K119, IF(TBL_008_Qs_Lot_1[[#This Row],[Sub_No]]="N/A", "", CONCATENATE(TBL_008_Qs_Lot_1[[#This Row],[Q_No]], TBL_008_Qs_Lot_1[[#This Row],[Sub_No]])))</f>
        <v>Q6.11.5</v>
      </c>
      <c r="B118" s="388" t="s">
        <v>398</v>
      </c>
      <c r="C118" s="394"/>
      <c r="D118" s="399"/>
      <c r="E118" s="399"/>
      <c r="F118" s="400"/>
      <c r="G118" s="399" t="str">
        <f>IF(TBL_008_Qs_Lot_1[[#This Row],[Type]]="Question", IF(SQ_Weighted?="Yes", "", "N/A"), "")</f>
        <v/>
      </c>
      <c r="H11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8" s="380" t="str">
        <f t="array" ref="I11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8" s="391" t="s">
        <v>779</v>
      </c>
      <c r="K118" s="384" t="s">
        <v>719</v>
      </c>
      <c r="L118" s="392" t="s">
        <v>1040</v>
      </c>
      <c r="M118" s="386" t="str">
        <f t="array" ref="M118">INDEX(TBL_003_DocMerge[PAS_or_SQ?], MATCH(1, (Job_No=TBL_003_DocMerge[Job_No])*(Doc_Lot=TBL_003_DocMerge[Lot]),0))</f>
        <v>SQ</v>
      </c>
      <c r="N118" s="387" t="str">
        <f>IF(OR('Project Info'!$B$18="Open Procedure", 'Project Info'!$B$20="SQ"), "Yes", "No")</f>
        <v>Yes</v>
      </c>
    </row>
    <row r="119" spans="1:14" ht="14">
      <c r="A119" s="388" t="str">
        <f>IF(TBL_008_Qs_Lot_1[[#This Row],[Type]]="Question", K120, IF(TBL_008_Qs_Lot_1[[#This Row],[Sub_No]]="N/A", "", CONCATENATE(TBL_008_Qs_Lot_1[[#This Row],[Q_No]], TBL_008_Qs_Lot_1[[#This Row],[Sub_No]])))</f>
        <v>Q6.11.6</v>
      </c>
      <c r="B119" s="388" t="s">
        <v>398</v>
      </c>
      <c r="C119" s="394"/>
      <c r="D119" s="399"/>
      <c r="E119" s="399"/>
      <c r="F119" s="400"/>
      <c r="G119" s="399" t="str">
        <f>IF(TBL_008_Qs_Lot_1[[#This Row],[Type]]="Question", IF(SQ_Weighted?="Yes", "", "N/A"), "")</f>
        <v/>
      </c>
      <c r="H11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19" s="380" t="str">
        <f t="array" ref="I11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19" s="391" t="s">
        <v>779</v>
      </c>
      <c r="K119" s="384" t="s">
        <v>719</v>
      </c>
      <c r="L119" s="392" t="s">
        <v>1042</v>
      </c>
      <c r="M119" s="386" t="str">
        <f t="array" ref="M119">INDEX(TBL_003_DocMerge[PAS_or_SQ?], MATCH(1, (Job_No=TBL_003_DocMerge[Job_No])*(Doc_Lot=TBL_003_DocMerge[Lot]),0))</f>
        <v>SQ</v>
      </c>
      <c r="N119" s="387" t="str">
        <f>IF(OR('Project Info'!$B$18="Open Procedure", 'Project Info'!$B$20="SQ"), "Yes", "No")</f>
        <v>Yes</v>
      </c>
    </row>
    <row r="120" spans="1:14" ht="14">
      <c r="A120" s="388" t="str">
        <f>IF(TBL_008_Qs_Lot_1[[#This Row],[Type]]="Question", K121, IF(TBL_008_Qs_Lot_1[[#This Row],[Sub_No]]="N/A", "", CONCATENATE(TBL_008_Qs_Lot_1[[#This Row],[Q_No]], TBL_008_Qs_Lot_1[[#This Row],[Sub_No]])))</f>
        <v>Q6.11.7</v>
      </c>
      <c r="B120" s="388" t="s">
        <v>398</v>
      </c>
      <c r="C120" s="394"/>
      <c r="D120" s="399"/>
      <c r="E120" s="399"/>
      <c r="F120" s="400"/>
      <c r="G120" s="399" t="str">
        <f>IF(TBL_008_Qs_Lot_1[[#This Row],[Type]]="Question", IF(SQ_Weighted?="Yes", "", "N/A"), "")</f>
        <v/>
      </c>
      <c r="H12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0" s="380" t="str">
        <f t="array" ref="I12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0" s="391" t="s">
        <v>779</v>
      </c>
      <c r="K120" s="384" t="s">
        <v>719</v>
      </c>
      <c r="L120" s="392" t="s">
        <v>1043</v>
      </c>
      <c r="M120" s="386" t="str">
        <f t="array" ref="M120">INDEX(TBL_003_DocMerge[PAS_or_SQ?], MATCH(1, (Job_No=TBL_003_DocMerge[Job_No])*(Doc_Lot=TBL_003_DocMerge[Lot]),0))</f>
        <v>SQ</v>
      </c>
      <c r="N120" s="387" t="str">
        <f>IF(OR('Project Info'!$B$18="Open Procedure", 'Project Info'!$B$20="SQ"), "Yes", "No")</f>
        <v>Yes</v>
      </c>
    </row>
    <row r="121" spans="1:14" ht="14">
      <c r="A121" s="388" t="str">
        <f>IF(TBL_008_Qs_Lot_1[[#This Row],[Type]]="Question", K122, IF(TBL_008_Qs_Lot_1[[#This Row],[Sub_No]]="N/A", "", CONCATENATE(TBL_008_Qs_Lot_1[[#This Row],[Q_No]], TBL_008_Qs_Lot_1[[#This Row],[Sub_No]])))</f>
        <v>Q6.11.8</v>
      </c>
      <c r="B121" s="388" t="s">
        <v>398</v>
      </c>
      <c r="C121" s="394"/>
      <c r="D121" s="399"/>
      <c r="E121" s="399"/>
      <c r="F121" s="400"/>
      <c r="G121" s="399" t="str">
        <f>IF(TBL_008_Qs_Lot_1[[#This Row],[Type]]="Question", IF(SQ_Weighted?="Yes", "", "N/A"), "")</f>
        <v/>
      </c>
      <c r="H12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1" s="380" t="str">
        <f t="array" ref="I12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1" s="391" t="s">
        <v>779</v>
      </c>
      <c r="K121" s="384" t="s">
        <v>719</v>
      </c>
      <c r="L121" s="392" t="s">
        <v>1044</v>
      </c>
      <c r="M121" s="386" t="str">
        <f t="array" ref="M121">INDEX(TBL_003_DocMerge[PAS_or_SQ?], MATCH(1, (Job_No=TBL_003_DocMerge[Job_No])*(Doc_Lot=TBL_003_DocMerge[Lot]),0))</f>
        <v>SQ</v>
      </c>
      <c r="N121" s="387" t="str">
        <f>IF(OR('Project Info'!$B$18="Open Procedure", 'Project Info'!$B$20="SQ"), "Yes", "No")</f>
        <v>Yes</v>
      </c>
    </row>
    <row r="122" spans="1:14" ht="14">
      <c r="A122" s="388" t="str">
        <f>IF(TBL_008_Qs_Lot_1[[#This Row],[Type]]="Question", K123, IF(TBL_008_Qs_Lot_1[[#This Row],[Sub_No]]="N/A", "", CONCATENATE(TBL_008_Qs_Lot_1[[#This Row],[Q_No]], TBL_008_Qs_Lot_1[[#This Row],[Sub_No]])))</f>
        <v>Q6.11.9</v>
      </c>
      <c r="B122" s="388" t="s">
        <v>398</v>
      </c>
      <c r="C122" s="394"/>
      <c r="D122" s="399"/>
      <c r="E122" s="399"/>
      <c r="F122" s="400"/>
      <c r="G122" s="399" t="str">
        <f>IF(TBL_008_Qs_Lot_1[[#This Row],[Type]]="Question", IF(SQ_Weighted?="Yes", "", "N/A"), "")</f>
        <v/>
      </c>
      <c r="H12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2" s="380" t="str">
        <f t="array" ref="I12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2" s="391" t="s">
        <v>779</v>
      </c>
      <c r="K122" s="384" t="s">
        <v>719</v>
      </c>
      <c r="L122" s="392" t="s">
        <v>1045</v>
      </c>
      <c r="M122" s="386" t="str">
        <f t="array" ref="M122">INDEX(TBL_003_DocMerge[PAS_or_SQ?], MATCH(1, (Job_No=TBL_003_DocMerge[Job_No])*(Doc_Lot=TBL_003_DocMerge[Lot]),0))</f>
        <v>SQ</v>
      </c>
      <c r="N122" s="387" t="str">
        <f>IF(OR('Project Info'!$B$18="Open Procedure", 'Project Info'!$B$20="SQ"), "Yes", "No")</f>
        <v>Yes</v>
      </c>
    </row>
    <row r="123" spans="1:14" ht="14">
      <c r="A123" s="388" t="str">
        <f>IF(TBL_008_Qs_Lot_1[[#This Row],[Type]]="Question", K124, IF(TBL_008_Qs_Lot_1[[#This Row],[Sub_No]]="N/A", "", CONCATENATE(TBL_008_Qs_Lot_1[[#This Row],[Q_No]], TBL_008_Qs_Lot_1[[#This Row],[Sub_No]])))</f>
        <v>Q6.11.10</v>
      </c>
      <c r="B123" s="388" t="s">
        <v>398</v>
      </c>
      <c r="C123" s="394"/>
      <c r="D123" s="399"/>
      <c r="E123" s="399"/>
      <c r="F123" s="400"/>
      <c r="G123" s="399" t="str">
        <f>IF(TBL_008_Qs_Lot_1[[#This Row],[Type]]="Question", IF(SQ_Weighted?="Yes", "", "N/A"), "")</f>
        <v/>
      </c>
      <c r="H12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3" s="380" t="str">
        <f t="array" ref="I12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3" s="391" t="s">
        <v>779</v>
      </c>
      <c r="K123" s="384" t="s">
        <v>719</v>
      </c>
      <c r="L123" s="392" t="s">
        <v>1046</v>
      </c>
      <c r="M123" s="386" t="str">
        <f t="array" ref="M123">INDEX(TBL_003_DocMerge[PAS_or_SQ?], MATCH(1, (Job_No=TBL_003_DocMerge[Job_No])*(Doc_Lot=TBL_003_DocMerge[Lot]),0))</f>
        <v>SQ</v>
      </c>
      <c r="N123" s="387" t="str">
        <f>IF(OR('Project Info'!$B$18="Open Procedure", 'Project Info'!$B$20="SQ"), "Yes", "No")</f>
        <v>Yes</v>
      </c>
    </row>
    <row r="124" spans="1:14" ht="14">
      <c r="A124" s="378" t="str">
        <f>IF(TBL_008_Qs_Lot_1[[#This Row],[Type]]="Question", K125, IF(TBL_008_Qs_Lot_1[[#This Row],[Sub_No]]="N/A", "", CONCATENATE(TBL_008_Qs_Lot_1[[#This Row],[Q_No]], TBL_008_Qs_Lot_1[[#This Row],[Sub_No]])))</f>
        <v>Q6.12</v>
      </c>
      <c r="B124" s="378" t="s">
        <v>398</v>
      </c>
      <c r="C124" s="398"/>
      <c r="D124" s="380"/>
      <c r="E124" s="398"/>
      <c r="F124" s="382">
        <f>TBL_008_Qs_Lot_1[[#This Row],[No.subs]]*500</f>
        <v>0</v>
      </c>
      <c r="G124" s="380" t="str">
        <f>IF(TBL_008_Qs_Lot_1[[#This Row],[Type]]="Question", IF(SQ_Weighted?="Yes", "", "N/A"), "")</f>
        <v>N/A</v>
      </c>
      <c r="H124"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24" s="380">
        <f t="array" ref="I12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24" s="383" t="s">
        <v>209</v>
      </c>
      <c r="K124" s="384" t="s">
        <v>24</v>
      </c>
      <c r="L124" s="385" t="s">
        <v>24</v>
      </c>
      <c r="M124" s="386" t="str">
        <f t="array" ref="M124">INDEX(TBL_003_DocMerge[PAS_or_SQ?], MATCH(1, (Job_No=TBL_003_DocMerge[Job_No])*(Doc_Lot=TBL_003_DocMerge[Lot]),0))</f>
        <v>SQ</v>
      </c>
      <c r="N124" s="387" t="str">
        <f>IF(OR('Project Info'!$B$18="Open Procedure", 'Project Info'!$B$20="SQ"), "Yes", "No")</f>
        <v>Yes</v>
      </c>
    </row>
    <row r="125" spans="1:14" ht="14">
      <c r="A125" s="388" t="str">
        <f>IF(TBL_008_Qs_Lot_1[[#This Row],[Type]]="Question", K126, IF(TBL_008_Qs_Lot_1[[#This Row],[Sub_No]]="N/A", "", CONCATENATE(TBL_008_Qs_Lot_1[[#This Row],[Q_No]], TBL_008_Qs_Lot_1[[#This Row],[Sub_No]])))</f>
        <v>Q6.12.1</v>
      </c>
      <c r="B125" s="388" t="s">
        <v>398</v>
      </c>
      <c r="C125" s="394"/>
      <c r="D125" s="399"/>
      <c r="E125" s="399"/>
      <c r="F125" s="400"/>
      <c r="G125" s="399" t="str">
        <f>IF(TBL_008_Qs_Lot_1[[#This Row],[Type]]="Question", IF(SQ_Weighted?="Yes", "", "N/A"), "")</f>
        <v/>
      </c>
      <c r="H12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5" s="380" t="str">
        <f t="array" ref="I12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5" s="391" t="s">
        <v>779</v>
      </c>
      <c r="K125" s="384" t="s">
        <v>730</v>
      </c>
      <c r="L125" s="392" t="s">
        <v>1037</v>
      </c>
      <c r="M125" s="386" t="str">
        <f t="array" ref="M125">INDEX(TBL_003_DocMerge[PAS_or_SQ?], MATCH(1, (Job_No=TBL_003_DocMerge[Job_No])*(Doc_Lot=TBL_003_DocMerge[Lot]),0))</f>
        <v>SQ</v>
      </c>
      <c r="N125" s="387" t="str">
        <f>IF(OR('Project Info'!$B$18="Open Procedure", 'Project Info'!$B$20="SQ"), "Yes", "No")</f>
        <v>Yes</v>
      </c>
    </row>
    <row r="126" spans="1:14" ht="14">
      <c r="A126" s="388" t="str">
        <f>IF(TBL_008_Qs_Lot_1[[#This Row],[Type]]="Question", K127, IF(TBL_008_Qs_Lot_1[[#This Row],[Sub_No]]="N/A", "", CONCATENATE(TBL_008_Qs_Lot_1[[#This Row],[Q_No]], TBL_008_Qs_Lot_1[[#This Row],[Sub_No]])))</f>
        <v>Q6.12.2</v>
      </c>
      <c r="B126" s="388" t="s">
        <v>398</v>
      </c>
      <c r="C126" s="394"/>
      <c r="D126" s="399"/>
      <c r="E126" s="399"/>
      <c r="F126" s="400"/>
      <c r="G126" s="399" t="str">
        <f>IF(TBL_008_Qs_Lot_1[[#This Row],[Type]]="Question", IF(SQ_Weighted?="Yes", "", "N/A"), "")</f>
        <v/>
      </c>
      <c r="H12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6" s="380" t="str">
        <f t="array" ref="I12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6" s="391" t="s">
        <v>779</v>
      </c>
      <c r="K126" s="384" t="s">
        <v>730</v>
      </c>
      <c r="L126" s="392" t="s">
        <v>1041</v>
      </c>
      <c r="M126" s="386" t="str">
        <f t="array" ref="M126">INDEX(TBL_003_DocMerge[PAS_or_SQ?], MATCH(1, (Job_No=TBL_003_DocMerge[Job_No])*(Doc_Lot=TBL_003_DocMerge[Lot]),0))</f>
        <v>SQ</v>
      </c>
      <c r="N126" s="387" t="str">
        <f>IF(OR('Project Info'!$B$18="Open Procedure", 'Project Info'!$B$20="SQ"), "Yes", "No")</f>
        <v>Yes</v>
      </c>
    </row>
    <row r="127" spans="1:14" ht="14">
      <c r="A127" s="388" t="str">
        <f>IF(TBL_008_Qs_Lot_1[[#This Row],[Type]]="Question", K128, IF(TBL_008_Qs_Lot_1[[#This Row],[Sub_No]]="N/A", "", CONCATENATE(TBL_008_Qs_Lot_1[[#This Row],[Q_No]], TBL_008_Qs_Lot_1[[#This Row],[Sub_No]])))</f>
        <v>Q6.12.3</v>
      </c>
      <c r="B127" s="388" t="s">
        <v>398</v>
      </c>
      <c r="C127" s="394"/>
      <c r="D127" s="399"/>
      <c r="E127" s="399"/>
      <c r="F127" s="400"/>
      <c r="G127" s="399" t="str">
        <f>IF(TBL_008_Qs_Lot_1[[#This Row],[Type]]="Question", IF(SQ_Weighted?="Yes", "", "N/A"), "")</f>
        <v/>
      </c>
      <c r="H12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7" s="380" t="str">
        <f t="array" ref="I12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7" s="391" t="s">
        <v>779</v>
      </c>
      <c r="K127" s="384" t="s">
        <v>730</v>
      </c>
      <c r="L127" s="392" t="s">
        <v>1038</v>
      </c>
      <c r="M127" s="386" t="str">
        <f t="array" ref="M127">INDEX(TBL_003_DocMerge[PAS_or_SQ?], MATCH(1, (Job_No=TBL_003_DocMerge[Job_No])*(Doc_Lot=TBL_003_DocMerge[Lot]),0))</f>
        <v>SQ</v>
      </c>
      <c r="N127" s="387" t="str">
        <f>IF(OR('Project Info'!$B$18="Open Procedure", 'Project Info'!$B$20="SQ"), "Yes", "No")</f>
        <v>Yes</v>
      </c>
    </row>
    <row r="128" spans="1:14" ht="14">
      <c r="A128" s="388" t="str">
        <f>IF(TBL_008_Qs_Lot_1[[#This Row],[Type]]="Question", K129, IF(TBL_008_Qs_Lot_1[[#This Row],[Sub_No]]="N/A", "", CONCATENATE(TBL_008_Qs_Lot_1[[#This Row],[Q_No]], TBL_008_Qs_Lot_1[[#This Row],[Sub_No]])))</f>
        <v>Q6.12.4</v>
      </c>
      <c r="B128" s="388" t="s">
        <v>398</v>
      </c>
      <c r="C128" s="394"/>
      <c r="D128" s="399"/>
      <c r="E128" s="399"/>
      <c r="F128" s="400"/>
      <c r="G128" s="399" t="str">
        <f>IF(TBL_008_Qs_Lot_1[[#This Row],[Type]]="Question", IF(SQ_Weighted?="Yes", "", "N/A"), "")</f>
        <v/>
      </c>
      <c r="H12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8" s="380" t="str">
        <f t="array" ref="I12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8" s="391" t="s">
        <v>779</v>
      </c>
      <c r="K128" s="384" t="s">
        <v>730</v>
      </c>
      <c r="L128" s="392" t="s">
        <v>1039</v>
      </c>
      <c r="M128" s="386" t="str">
        <f t="array" ref="M128">INDEX(TBL_003_DocMerge[PAS_or_SQ?], MATCH(1, (Job_No=TBL_003_DocMerge[Job_No])*(Doc_Lot=TBL_003_DocMerge[Lot]),0))</f>
        <v>SQ</v>
      </c>
      <c r="N128" s="387" t="str">
        <f>IF(OR('Project Info'!$B$18="Open Procedure", 'Project Info'!$B$20="SQ"), "Yes", "No")</f>
        <v>Yes</v>
      </c>
    </row>
    <row r="129" spans="1:14" ht="14">
      <c r="A129" s="388" t="str">
        <f>IF(TBL_008_Qs_Lot_1[[#This Row],[Type]]="Question", K130, IF(TBL_008_Qs_Lot_1[[#This Row],[Sub_No]]="N/A", "", CONCATENATE(TBL_008_Qs_Lot_1[[#This Row],[Q_No]], TBL_008_Qs_Lot_1[[#This Row],[Sub_No]])))</f>
        <v>Q6.12.5</v>
      </c>
      <c r="B129" s="388" t="s">
        <v>398</v>
      </c>
      <c r="C129" s="394"/>
      <c r="D129" s="399"/>
      <c r="E129" s="399"/>
      <c r="F129" s="400"/>
      <c r="G129" s="399" t="str">
        <f>IF(TBL_008_Qs_Lot_1[[#This Row],[Type]]="Question", IF(SQ_Weighted?="Yes", "", "N/A"), "")</f>
        <v/>
      </c>
      <c r="H12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29" s="380" t="str">
        <f t="array" ref="I12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29" s="391" t="s">
        <v>779</v>
      </c>
      <c r="K129" s="384" t="s">
        <v>730</v>
      </c>
      <c r="L129" s="392" t="s">
        <v>1040</v>
      </c>
      <c r="M129" s="386" t="str">
        <f t="array" ref="M129">INDEX(TBL_003_DocMerge[PAS_or_SQ?], MATCH(1, (Job_No=TBL_003_DocMerge[Job_No])*(Doc_Lot=TBL_003_DocMerge[Lot]),0))</f>
        <v>SQ</v>
      </c>
      <c r="N129" s="387" t="str">
        <f>IF(OR('Project Info'!$B$18="Open Procedure", 'Project Info'!$B$20="SQ"), "Yes", "No")</f>
        <v>Yes</v>
      </c>
    </row>
    <row r="130" spans="1:14" ht="14">
      <c r="A130" s="388" t="str">
        <f>IF(TBL_008_Qs_Lot_1[[#This Row],[Type]]="Question", K131, IF(TBL_008_Qs_Lot_1[[#This Row],[Sub_No]]="N/A", "", CONCATENATE(TBL_008_Qs_Lot_1[[#This Row],[Q_No]], TBL_008_Qs_Lot_1[[#This Row],[Sub_No]])))</f>
        <v>Q6.12.6</v>
      </c>
      <c r="B130" s="388" t="s">
        <v>398</v>
      </c>
      <c r="C130" s="394"/>
      <c r="D130" s="399"/>
      <c r="E130" s="399"/>
      <c r="F130" s="400"/>
      <c r="G130" s="399" t="str">
        <f>IF(TBL_008_Qs_Lot_1[[#This Row],[Type]]="Question", IF(SQ_Weighted?="Yes", "", "N/A"), "")</f>
        <v/>
      </c>
      <c r="H13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0" s="380" t="str">
        <f t="array" ref="I13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0" s="391" t="s">
        <v>779</v>
      </c>
      <c r="K130" s="384" t="s">
        <v>730</v>
      </c>
      <c r="L130" s="392" t="s">
        <v>1042</v>
      </c>
      <c r="M130" s="386" t="str">
        <f t="array" ref="M130">INDEX(TBL_003_DocMerge[PAS_or_SQ?], MATCH(1, (Job_No=TBL_003_DocMerge[Job_No])*(Doc_Lot=TBL_003_DocMerge[Lot]),0))</f>
        <v>SQ</v>
      </c>
      <c r="N130" s="387" t="str">
        <f>IF(OR('Project Info'!$B$18="Open Procedure", 'Project Info'!$B$20="SQ"), "Yes", "No")</f>
        <v>Yes</v>
      </c>
    </row>
    <row r="131" spans="1:14" ht="14">
      <c r="A131" s="388" t="str">
        <f>IF(TBL_008_Qs_Lot_1[[#This Row],[Type]]="Question", K132, IF(TBL_008_Qs_Lot_1[[#This Row],[Sub_No]]="N/A", "", CONCATENATE(TBL_008_Qs_Lot_1[[#This Row],[Q_No]], TBL_008_Qs_Lot_1[[#This Row],[Sub_No]])))</f>
        <v>Q6.12.7</v>
      </c>
      <c r="B131" s="388" t="s">
        <v>398</v>
      </c>
      <c r="C131" s="394"/>
      <c r="D131" s="399"/>
      <c r="E131" s="399"/>
      <c r="F131" s="400"/>
      <c r="G131" s="399" t="str">
        <f>IF(TBL_008_Qs_Lot_1[[#This Row],[Type]]="Question", IF(SQ_Weighted?="Yes", "", "N/A"), "")</f>
        <v/>
      </c>
      <c r="H13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1" s="380" t="str">
        <f t="array" ref="I13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1" s="391" t="s">
        <v>779</v>
      </c>
      <c r="K131" s="384" t="s">
        <v>730</v>
      </c>
      <c r="L131" s="392" t="s">
        <v>1043</v>
      </c>
      <c r="M131" s="386" t="str">
        <f t="array" ref="M131">INDEX(TBL_003_DocMerge[PAS_or_SQ?], MATCH(1, (Job_No=TBL_003_DocMerge[Job_No])*(Doc_Lot=TBL_003_DocMerge[Lot]),0))</f>
        <v>SQ</v>
      </c>
      <c r="N131" s="387" t="str">
        <f>IF(OR('Project Info'!$B$18="Open Procedure", 'Project Info'!$B$20="SQ"), "Yes", "No")</f>
        <v>Yes</v>
      </c>
    </row>
    <row r="132" spans="1:14" ht="14">
      <c r="A132" s="388" t="str">
        <f>IF(TBL_008_Qs_Lot_1[[#This Row],[Type]]="Question", K133, IF(TBL_008_Qs_Lot_1[[#This Row],[Sub_No]]="N/A", "", CONCATENATE(TBL_008_Qs_Lot_1[[#This Row],[Q_No]], TBL_008_Qs_Lot_1[[#This Row],[Sub_No]])))</f>
        <v>Q6.12.8</v>
      </c>
      <c r="B132" s="388" t="s">
        <v>398</v>
      </c>
      <c r="C132" s="394"/>
      <c r="D132" s="399"/>
      <c r="E132" s="399"/>
      <c r="F132" s="400"/>
      <c r="G132" s="399" t="str">
        <f>IF(TBL_008_Qs_Lot_1[[#This Row],[Type]]="Question", IF(SQ_Weighted?="Yes", "", "N/A"), "")</f>
        <v/>
      </c>
      <c r="H13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2" s="380" t="str">
        <f t="array" ref="I13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2" s="391" t="s">
        <v>779</v>
      </c>
      <c r="K132" s="384" t="s">
        <v>730</v>
      </c>
      <c r="L132" s="392" t="s">
        <v>1044</v>
      </c>
      <c r="M132" s="386" t="str">
        <f t="array" ref="M132">INDEX(TBL_003_DocMerge[PAS_or_SQ?], MATCH(1, (Job_No=TBL_003_DocMerge[Job_No])*(Doc_Lot=TBL_003_DocMerge[Lot]),0))</f>
        <v>SQ</v>
      </c>
      <c r="N132" s="387" t="str">
        <f>IF(OR('Project Info'!$B$18="Open Procedure", 'Project Info'!$B$20="SQ"), "Yes", "No")</f>
        <v>Yes</v>
      </c>
    </row>
    <row r="133" spans="1:14" ht="14">
      <c r="A133" s="388" t="str">
        <f>IF(TBL_008_Qs_Lot_1[[#This Row],[Type]]="Question", K134, IF(TBL_008_Qs_Lot_1[[#This Row],[Sub_No]]="N/A", "", CONCATENATE(TBL_008_Qs_Lot_1[[#This Row],[Q_No]], TBL_008_Qs_Lot_1[[#This Row],[Sub_No]])))</f>
        <v>Q6.12.9</v>
      </c>
      <c r="B133" s="388" t="s">
        <v>398</v>
      </c>
      <c r="C133" s="394"/>
      <c r="D133" s="399"/>
      <c r="E133" s="399"/>
      <c r="F133" s="400"/>
      <c r="G133" s="399" t="str">
        <f>IF(TBL_008_Qs_Lot_1[[#This Row],[Type]]="Question", IF(SQ_Weighted?="Yes", "", "N/A"), "")</f>
        <v/>
      </c>
      <c r="H13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3" s="380" t="str">
        <f t="array" ref="I13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3" s="391" t="s">
        <v>779</v>
      </c>
      <c r="K133" s="384" t="s">
        <v>730</v>
      </c>
      <c r="L133" s="392" t="s">
        <v>1045</v>
      </c>
      <c r="M133" s="386" t="str">
        <f t="array" ref="M133">INDEX(TBL_003_DocMerge[PAS_or_SQ?], MATCH(1, (Job_No=TBL_003_DocMerge[Job_No])*(Doc_Lot=TBL_003_DocMerge[Lot]),0))</f>
        <v>SQ</v>
      </c>
      <c r="N133" s="387" t="str">
        <f>IF(OR('Project Info'!$B$18="Open Procedure", 'Project Info'!$B$20="SQ"), "Yes", "No")</f>
        <v>Yes</v>
      </c>
    </row>
    <row r="134" spans="1:14" ht="14">
      <c r="A134" s="388" t="str">
        <f>IF(TBL_008_Qs_Lot_1[[#This Row],[Type]]="Question", K135, IF(TBL_008_Qs_Lot_1[[#This Row],[Sub_No]]="N/A", "", CONCATENATE(TBL_008_Qs_Lot_1[[#This Row],[Q_No]], TBL_008_Qs_Lot_1[[#This Row],[Sub_No]])))</f>
        <v>Q6.12.10</v>
      </c>
      <c r="B134" s="388" t="s">
        <v>398</v>
      </c>
      <c r="C134" s="394"/>
      <c r="D134" s="399"/>
      <c r="E134" s="399"/>
      <c r="F134" s="400"/>
      <c r="G134" s="399" t="str">
        <f>IF(TBL_008_Qs_Lot_1[[#This Row],[Type]]="Question", IF(SQ_Weighted?="Yes", "", "N/A"), "")</f>
        <v/>
      </c>
      <c r="H13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4" s="380" t="str">
        <f t="array" ref="I13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4" s="391" t="s">
        <v>779</v>
      </c>
      <c r="K134" s="384" t="s">
        <v>730</v>
      </c>
      <c r="L134" s="392" t="s">
        <v>1046</v>
      </c>
      <c r="M134" s="386" t="str">
        <f t="array" ref="M134">INDEX(TBL_003_DocMerge[PAS_or_SQ?], MATCH(1, (Job_No=TBL_003_DocMerge[Job_No])*(Doc_Lot=TBL_003_DocMerge[Lot]),0))</f>
        <v>SQ</v>
      </c>
      <c r="N134" s="387" t="str">
        <f>IF(OR('Project Info'!$B$18="Open Procedure", 'Project Info'!$B$20="SQ"), "Yes", "No")</f>
        <v>Yes</v>
      </c>
    </row>
    <row r="135" spans="1:14" ht="14">
      <c r="A135" s="378" t="str">
        <f>IF(TBL_008_Qs_Lot_1[[#This Row],[Type]]="Question", K136, IF(TBL_008_Qs_Lot_1[[#This Row],[Sub_No]]="N/A", "", CONCATENATE(TBL_008_Qs_Lot_1[[#This Row],[Q_No]], TBL_008_Qs_Lot_1[[#This Row],[Sub_No]])))</f>
        <v>Q6.13</v>
      </c>
      <c r="B135" s="378" t="s">
        <v>398</v>
      </c>
      <c r="C135" s="398"/>
      <c r="D135" s="380"/>
      <c r="E135" s="398"/>
      <c r="F135" s="382">
        <f>TBL_008_Qs_Lot_1[[#This Row],[No.subs]]*500</f>
        <v>0</v>
      </c>
      <c r="G135" s="380" t="str">
        <f>IF(TBL_008_Qs_Lot_1[[#This Row],[Type]]="Question", IF(SQ_Weighted?="Yes", "", "N/A"), "")</f>
        <v>N/A</v>
      </c>
      <c r="H135"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35" s="380">
        <f t="array" ref="I13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35" s="383" t="s">
        <v>209</v>
      </c>
      <c r="K135" s="384" t="s">
        <v>24</v>
      </c>
      <c r="L135" s="385" t="s">
        <v>24</v>
      </c>
      <c r="M135" s="386" t="str">
        <f t="array" ref="M135">INDEX(TBL_003_DocMerge[PAS_or_SQ?], MATCH(1, (Job_No=TBL_003_DocMerge[Job_No])*(Doc_Lot=TBL_003_DocMerge[Lot]),0))</f>
        <v>SQ</v>
      </c>
      <c r="N135" s="387" t="str">
        <f>IF(OR('Project Info'!$B$18="Open Procedure", 'Project Info'!$B$20="SQ"), "Yes", "No")</f>
        <v>Yes</v>
      </c>
    </row>
    <row r="136" spans="1:14" ht="14">
      <c r="A136" s="388" t="str">
        <f>IF(TBL_008_Qs_Lot_1[[#This Row],[Type]]="Question", K137, IF(TBL_008_Qs_Lot_1[[#This Row],[Sub_No]]="N/A", "", CONCATENATE(TBL_008_Qs_Lot_1[[#This Row],[Q_No]], TBL_008_Qs_Lot_1[[#This Row],[Sub_No]])))</f>
        <v>Q6.13.1</v>
      </c>
      <c r="B136" s="388" t="s">
        <v>398</v>
      </c>
      <c r="C136" s="394"/>
      <c r="D136" s="399"/>
      <c r="E136" s="399"/>
      <c r="F136" s="400"/>
      <c r="G136" s="399" t="str">
        <f>IF(TBL_008_Qs_Lot_1[[#This Row],[Type]]="Question", IF(SQ_Weighted?="Yes", "", "N/A"), "")</f>
        <v/>
      </c>
      <c r="H13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6" s="380" t="str">
        <f t="array" ref="I13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6" s="391" t="s">
        <v>779</v>
      </c>
      <c r="K136" s="384" t="s">
        <v>741</v>
      </c>
      <c r="L136" s="392" t="s">
        <v>1037</v>
      </c>
      <c r="M136" s="386" t="str">
        <f t="array" ref="M136">INDEX(TBL_003_DocMerge[PAS_or_SQ?], MATCH(1, (Job_No=TBL_003_DocMerge[Job_No])*(Doc_Lot=TBL_003_DocMerge[Lot]),0))</f>
        <v>SQ</v>
      </c>
      <c r="N136" s="387" t="str">
        <f>IF(OR('Project Info'!$B$18="Open Procedure", 'Project Info'!$B$20="SQ"), "Yes", "No")</f>
        <v>Yes</v>
      </c>
    </row>
    <row r="137" spans="1:14" ht="14">
      <c r="A137" s="388" t="str">
        <f>IF(TBL_008_Qs_Lot_1[[#This Row],[Type]]="Question", K138, IF(TBL_008_Qs_Lot_1[[#This Row],[Sub_No]]="N/A", "", CONCATENATE(TBL_008_Qs_Lot_1[[#This Row],[Q_No]], TBL_008_Qs_Lot_1[[#This Row],[Sub_No]])))</f>
        <v>Q6.13.2</v>
      </c>
      <c r="B137" s="388" t="s">
        <v>398</v>
      </c>
      <c r="C137" s="394"/>
      <c r="D137" s="399"/>
      <c r="E137" s="399"/>
      <c r="F137" s="400"/>
      <c r="G137" s="399" t="str">
        <f>IF(TBL_008_Qs_Lot_1[[#This Row],[Type]]="Question", IF(SQ_Weighted?="Yes", "", "N/A"), "")</f>
        <v/>
      </c>
      <c r="H13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7" s="380" t="str">
        <f t="array" ref="I13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7" s="391" t="s">
        <v>779</v>
      </c>
      <c r="K137" s="384" t="s">
        <v>741</v>
      </c>
      <c r="L137" s="392" t="s">
        <v>1041</v>
      </c>
      <c r="M137" s="386" t="str">
        <f t="array" ref="M137">INDEX(TBL_003_DocMerge[PAS_or_SQ?], MATCH(1, (Job_No=TBL_003_DocMerge[Job_No])*(Doc_Lot=TBL_003_DocMerge[Lot]),0))</f>
        <v>SQ</v>
      </c>
      <c r="N137" s="387" t="str">
        <f>IF(OR('Project Info'!$B$18="Open Procedure", 'Project Info'!$B$20="SQ"), "Yes", "No")</f>
        <v>Yes</v>
      </c>
    </row>
    <row r="138" spans="1:14" ht="14">
      <c r="A138" s="388" t="str">
        <f>IF(TBL_008_Qs_Lot_1[[#This Row],[Type]]="Question", K139, IF(TBL_008_Qs_Lot_1[[#This Row],[Sub_No]]="N/A", "", CONCATENATE(TBL_008_Qs_Lot_1[[#This Row],[Q_No]], TBL_008_Qs_Lot_1[[#This Row],[Sub_No]])))</f>
        <v>Q6.13.3</v>
      </c>
      <c r="B138" s="388" t="s">
        <v>398</v>
      </c>
      <c r="C138" s="394"/>
      <c r="D138" s="399"/>
      <c r="E138" s="399"/>
      <c r="F138" s="400"/>
      <c r="G138" s="399" t="str">
        <f>IF(TBL_008_Qs_Lot_1[[#This Row],[Type]]="Question", IF(SQ_Weighted?="Yes", "", "N/A"), "")</f>
        <v/>
      </c>
      <c r="H13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8" s="380" t="str">
        <f t="array" ref="I13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8" s="391" t="s">
        <v>779</v>
      </c>
      <c r="K138" s="384" t="s">
        <v>741</v>
      </c>
      <c r="L138" s="392" t="s">
        <v>1038</v>
      </c>
      <c r="M138" s="386" t="str">
        <f t="array" ref="M138">INDEX(TBL_003_DocMerge[PAS_or_SQ?], MATCH(1, (Job_No=TBL_003_DocMerge[Job_No])*(Doc_Lot=TBL_003_DocMerge[Lot]),0))</f>
        <v>SQ</v>
      </c>
      <c r="N138" s="387" t="str">
        <f>IF(OR('Project Info'!$B$18="Open Procedure", 'Project Info'!$B$20="SQ"), "Yes", "No")</f>
        <v>Yes</v>
      </c>
    </row>
    <row r="139" spans="1:14" ht="14">
      <c r="A139" s="388" t="str">
        <f>IF(TBL_008_Qs_Lot_1[[#This Row],[Type]]="Question", K140, IF(TBL_008_Qs_Lot_1[[#This Row],[Sub_No]]="N/A", "", CONCATENATE(TBL_008_Qs_Lot_1[[#This Row],[Q_No]], TBL_008_Qs_Lot_1[[#This Row],[Sub_No]])))</f>
        <v>Q6.13.4</v>
      </c>
      <c r="B139" s="388" t="s">
        <v>398</v>
      </c>
      <c r="C139" s="394"/>
      <c r="D139" s="399"/>
      <c r="E139" s="399"/>
      <c r="F139" s="400"/>
      <c r="G139" s="399" t="str">
        <f>IF(TBL_008_Qs_Lot_1[[#This Row],[Type]]="Question", IF(SQ_Weighted?="Yes", "", "N/A"), "")</f>
        <v/>
      </c>
      <c r="H13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39" s="380" t="str">
        <f t="array" ref="I13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39" s="391" t="s">
        <v>779</v>
      </c>
      <c r="K139" s="384" t="s">
        <v>741</v>
      </c>
      <c r="L139" s="392" t="s">
        <v>1039</v>
      </c>
      <c r="M139" s="386" t="str">
        <f t="array" ref="M139">INDEX(TBL_003_DocMerge[PAS_or_SQ?], MATCH(1, (Job_No=TBL_003_DocMerge[Job_No])*(Doc_Lot=TBL_003_DocMerge[Lot]),0))</f>
        <v>SQ</v>
      </c>
      <c r="N139" s="387" t="str">
        <f>IF(OR('Project Info'!$B$18="Open Procedure", 'Project Info'!$B$20="SQ"), "Yes", "No")</f>
        <v>Yes</v>
      </c>
    </row>
    <row r="140" spans="1:14" ht="14">
      <c r="A140" s="388" t="str">
        <f>IF(TBL_008_Qs_Lot_1[[#This Row],[Type]]="Question", K141, IF(TBL_008_Qs_Lot_1[[#This Row],[Sub_No]]="N/A", "", CONCATENATE(TBL_008_Qs_Lot_1[[#This Row],[Q_No]], TBL_008_Qs_Lot_1[[#This Row],[Sub_No]])))</f>
        <v>Q6.13.5</v>
      </c>
      <c r="B140" s="388" t="s">
        <v>398</v>
      </c>
      <c r="C140" s="394"/>
      <c r="D140" s="399"/>
      <c r="E140" s="399"/>
      <c r="F140" s="400"/>
      <c r="G140" s="399" t="str">
        <f>IF(TBL_008_Qs_Lot_1[[#This Row],[Type]]="Question", IF(SQ_Weighted?="Yes", "", "N/A"), "")</f>
        <v/>
      </c>
      <c r="H14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0" s="380" t="str">
        <f t="array" ref="I14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0" s="391" t="s">
        <v>779</v>
      </c>
      <c r="K140" s="384" t="s">
        <v>741</v>
      </c>
      <c r="L140" s="392" t="s">
        <v>1040</v>
      </c>
      <c r="M140" s="386" t="str">
        <f t="array" ref="M140">INDEX(TBL_003_DocMerge[PAS_or_SQ?], MATCH(1, (Job_No=TBL_003_DocMerge[Job_No])*(Doc_Lot=TBL_003_DocMerge[Lot]),0))</f>
        <v>SQ</v>
      </c>
      <c r="N140" s="387" t="str">
        <f>IF(OR('Project Info'!$B$18="Open Procedure", 'Project Info'!$B$20="SQ"), "Yes", "No")</f>
        <v>Yes</v>
      </c>
    </row>
    <row r="141" spans="1:14" ht="14">
      <c r="A141" s="388" t="str">
        <f>IF(TBL_008_Qs_Lot_1[[#This Row],[Type]]="Question", K142, IF(TBL_008_Qs_Lot_1[[#This Row],[Sub_No]]="N/A", "", CONCATENATE(TBL_008_Qs_Lot_1[[#This Row],[Q_No]], TBL_008_Qs_Lot_1[[#This Row],[Sub_No]])))</f>
        <v>Q6.13.6</v>
      </c>
      <c r="B141" s="388" t="s">
        <v>398</v>
      </c>
      <c r="C141" s="394"/>
      <c r="D141" s="399"/>
      <c r="E141" s="399"/>
      <c r="F141" s="400"/>
      <c r="G141" s="399" t="str">
        <f>IF(TBL_008_Qs_Lot_1[[#This Row],[Type]]="Question", IF(SQ_Weighted?="Yes", "", "N/A"), "")</f>
        <v/>
      </c>
      <c r="H14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1" s="380" t="str">
        <f t="array" ref="I14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1" s="391" t="s">
        <v>779</v>
      </c>
      <c r="K141" s="384" t="s">
        <v>741</v>
      </c>
      <c r="L141" s="392" t="s">
        <v>1042</v>
      </c>
      <c r="M141" s="386" t="str">
        <f t="array" ref="M141">INDEX(TBL_003_DocMerge[PAS_or_SQ?], MATCH(1, (Job_No=TBL_003_DocMerge[Job_No])*(Doc_Lot=TBL_003_DocMerge[Lot]),0))</f>
        <v>SQ</v>
      </c>
      <c r="N141" s="387" t="str">
        <f>IF(OR('Project Info'!$B$18="Open Procedure", 'Project Info'!$B$20="SQ"), "Yes", "No")</f>
        <v>Yes</v>
      </c>
    </row>
    <row r="142" spans="1:14" ht="14">
      <c r="A142" s="388" t="str">
        <f>IF(TBL_008_Qs_Lot_1[[#This Row],[Type]]="Question", K143, IF(TBL_008_Qs_Lot_1[[#This Row],[Sub_No]]="N/A", "", CONCATENATE(TBL_008_Qs_Lot_1[[#This Row],[Q_No]], TBL_008_Qs_Lot_1[[#This Row],[Sub_No]])))</f>
        <v>Q6.13.7</v>
      </c>
      <c r="B142" s="388" t="s">
        <v>398</v>
      </c>
      <c r="C142" s="394"/>
      <c r="D142" s="399"/>
      <c r="E142" s="399"/>
      <c r="F142" s="400"/>
      <c r="G142" s="399" t="str">
        <f>IF(TBL_008_Qs_Lot_1[[#This Row],[Type]]="Question", IF(SQ_Weighted?="Yes", "", "N/A"), "")</f>
        <v/>
      </c>
      <c r="H14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2" s="380" t="str">
        <f t="array" ref="I14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2" s="391" t="s">
        <v>779</v>
      </c>
      <c r="K142" s="384" t="s">
        <v>741</v>
      </c>
      <c r="L142" s="392" t="s">
        <v>1043</v>
      </c>
      <c r="M142" s="386" t="str">
        <f t="array" ref="M142">INDEX(TBL_003_DocMerge[PAS_or_SQ?], MATCH(1, (Job_No=TBL_003_DocMerge[Job_No])*(Doc_Lot=TBL_003_DocMerge[Lot]),0))</f>
        <v>SQ</v>
      </c>
      <c r="N142" s="387" t="str">
        <f>IF(OR('Project Info'!$B$18="Open Procedure", 'Project Info'!$B$20="SQ"), "Yes", "No")</f>
        <v>Yes</v>
      </c>
    </row>
    <row r="143" spans="1:14" ht="14">
      <c r="A143" s="388" t="str">
        <f>IF(TBL_008_Qs_Lot_1[[#This Row],[Type]]="Question", K144, IF(TBL_008_Qs_Lot_1[[#This Row],[Sub_No]]="N/A", "", CONCATENATE(TBL_008_Qs_Lot_1[[#This Row],[Q_No]], TBL_008_Qs_Lot_1[[#This Row],[Sub_No]])))</f>
        <v>Q6.13.8</v>
      </c>
      <c r="B143" s="388" t="s">
        <v>398</v>
      </c>
      <c r="C143" s="394"/>
      <c r="D143" s="399"/>
      <c r="E143" s="399"/>
      <c r="F143" s="400"/>
      <c r="G143" s="399" t="str">
        <f>IF(TBL_008_Qs_Lot_1[[#This Row],[Type]]="Question", IF(SQ_Weighted?="Yes", "", "N/A"), "")</f>
        <v/>
      </c>
      <c r="H14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3" s="380" t="str">
        <f t="array" ref="I14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3" s="391" t="s">
        <v>779</v>
      </c>
      <c r="K143" s="384" t="s">
        <v>741</v>
      </c>
      <c r="L143" s="392" t="s">
        <v>1044</v>
      </c>
      <c r="M143" s="386" t="str">
        <f t="array" ref="M143">INDEX(TBL_003_DocMerge[PAS_or_SQ?], MATCH(1, (Job_No=TBL_003_DocMerge[Job_No])*(Doc_Lot=TBL_003_DocMerge[Lot]),0))</f>
        <v>SQ</v>
      </c>
      <c r="N143" s="387" t="str">
        <f>IF(OR('Project Info'!$B$18="Open Procedure", 'Project Info'!$B$20="SQ"), "Yes", "No")</f>
        <v>Yes</v>
      </c>
    </row>
    <row r="144" spans="1:14" ht="14">
      <c r="A144" s="388" t="str">
        <f>IF(TBL_008_Qs_Lot_1[[#This Row],[Type]]="Question", K145, IF(TBL_008_Qs_Lot_1[[#This Row],[Sub_No]]="N/A", "", CONCATENATE(TBL_008_Qs_Lot_1[[#This Row],[Q_No]], TBL_008_Qs_Lot_1[[#This Row],[Sub_No]])))</f>
        <v>Q6.13.9</v>
      </c>
      <c r="B144" s="388" t="s">
        <v>398</v>
      </c>
      <c r="C144" s="394"/>
      <c r="D144" s="399"/>
      <c r="E144" s="399"/>
      <c r="F144" s="400"/>
      <c r="G144" s="399" t="str">
        <f>IF(TBL_008_Qs_Lot_1[[#This Row],[Type]]="Question", IF(SQ_Weighted?="Yes", "", "N/A"), "")</f>
        <v/>
      </c>
      <c r="H14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4" s="380" t="str">
        <f t="array" ref="I14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4" s="391" t="s">
        <v>779</v>
      </c>
      <c r="K144" s="384" t="s">
        <v>741</v>
      </c>
      <c r="L144" s="392" t="s">
        <v>1045</v>
      </c>
      <c r="M144" s="386" t="str">
        <f t="array" ref="M144">INDEX(TBL_003_DocMerge[PAS_or_SQ?], MATCH(1, (Job_No=TBL_003_DocMerge[Job_No])*(Doc_Lot=TBL_003_DocMerge[Lot]),0))</f>
        <v>SQ</v>
      </c>
      <c r="N144" s="387" t="str">
        <f>IF(OR('Project Info'!$B$18="Open Procedure", 'Project Info'!$B$20="SQ"), "Yes", "No")</f>
        <v>Yes</v>
      </c>
    </row>
    <row r="145" spans="1:14" ht="14">
      <c r="A145" s="388" t="str">
        <f>IF(TBL_008_Qs_Lot_1[[#This Row],[Type]]="Question", K146, IF(TBL_008_Qs_Lot_1[[#This Row],[Sub_No]]="N/A", "", CONCATENATE(TBL_008_Qs_Lot_1[[#This Row],[Q_No]], TBL_008_Qs_Lot_1[[#This Row],[Sub_No]])))</f>
        <v>Q6.13.10</v>
      </c>
      <c r="B145" s="388" t="s">
        <v>398</v>
      </c>
      <c r="C145" s="394"/>
      <c r="D145" s="399"/>
      <c r="E145" s="399"/>
      <c r="F145" s="400"/>
      <c r="G145" s="399" t="str">
        <f>IF(TBL_008_Qs_Lot_1[[#This Row],[Type]]="Question", IF(SQ_Weighted?="Yes", "", "N/A"), "")</f>
        <v/>
      </c>
      <c r="H14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5" s="380" t="str">
        <f t="array" ref="I14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5" s="391" t="s">
        <v>779</v>
      </c>
      <c r="K145" s="384" t="s">
        <v>741</v>
      </c>
      <c r="L145" s="392" t="s">
        <v>1046</v>
      </c>
      <c r="M145" s="386" t="str">
        <f t="array" ref="M145">INDEX(TBL_003_DocMerge[PAS_or_SQ?], MATCH(1, (Job_No=TBL_003_DocMerge[Job_No])*(Doc_Lot=TBL_003_DocMerge[Lot]),0))</f>
        <v>SQ</v>
      </c>
      <c r="N145" s="387" t="str">
        <f>IF(OR('Project Info'!$B$18="Open Procedure", 'Project Info'!$B$20="SQ"), "Yes", "No")</f>
        <v>Yes</v>
      </c>
    </row>
    <row r="146" spans="1:14" ht="17">
      <c r="A146" s="376" t="str">
        <f>IF(TBL_008_Qs_Lot_1[[#This Row],[Type]]="Question", K147, IF(TBL_008_Qs_Lot_1[[#This Row],[Sub_No]]="N/A", "", CONCATENATE(TBL_008_Qs_Lot_1[[#This Row],[Q_No]], TBL_008_Qs_Lot_1[[#This Row],[Sub_No]])))</f>
        <v/>
      </c>
      <c r="B146" s="376" t="str">
        <f t="array" ref="B146">IF(TBL_008_Qs_Lot_1[[#This Row],[Required?]]="Yes", CONCATENATE("Part 4 - Project Delivery questions", IF(Lotted?="No", "", CONCATENATE(" for ", IF(AND(Doc_Lot="All", SQ_Same_Qs?="Yes"),"all Lots", INDEX(TBL_003_DocMerge[Lot_Ref], MATCH(1, (Doc_Lot=TBL_003_DocMerge[Lot])*(Job_No=TBL_003_DocMerge[Job_No]),0)))))), "Section not used")</f>
        <v>Section not used</v>
      </c>
      <c r="C146" s="373"/>
      <c r="D146" s="374"/>
      <c r="E146" s="374"/>
      <c r="F146" s="375"/>
      <c r="G146" s="375">
        <f>COUNTIFS(TBL_008_Qs_Lot_1[Type],"Question", TBL_008_Qs_Lot_1[Section], "Tech")-COUNTIFS(TBL_008_Qs_Lot_1[Question / Sub-question], "Not used", TBL_008_Qs_Lot_1[Type], "Question", TBL_008_Qs_Lot_1[Section], "Tech")</f>
        <v>0</v>
      </c>
      <c r="H146" s="374">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46" s="380" t="str">
        <f t="array" ref="I14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6" s="376" t="s">
        <v>778</v>
      </c>
      <c r="K146" s="374" t="s">
        <v>786</v>
      </c>
      <c r="L146" s="374" t="s">
        <v>24</v>
      </c>
      <c r="M146" s="374" t="s">
        <v>958</v>
      </c>
      <c r="N146" s="377" t="str">
        <f>IF(OR('Project Info'!$B$20="SQ", Price_split=100), "No", "Yes")</f>
        <v>No</v>
      </c>
    </row>
    <row r="147" spans="1:14" ht="14">
      <c r="A147" s="378" t="str">
        <f>IF(TBL_008_Qs_Lot_1[[#This Row],[Type]]="Question", K148, IF(TBL_008_Qs_Lot_1[[#This Row],[Sub_No]]="N/A", "", CONCATENATE(TBL_008_Qs_Lot_1[[#This Row],[Q_No]], TBL_008_Qs_Lot_1[[#This Row],[Sub_No]])))</f>
        <v>Q4.1</v>
      </c>
      <c r="B147" s="378" t="s">
        <v>398</v>
      </c>
      <c r="C147" s="398"/>
      <c r="D147" s="401"/>
      <c r="E147" s="401"/>
      <c r="F147" s="382">
        <f>TBL_008_Qs_Lot_1[[#This Row],[No.subs]]*500</f>
        <v>0</v>
      </c>
      <c r="G147" s="380" t="str">
        <f>IF(TBL_008_Qs_Lot_1[[#This Row],[Type]]="Question", IF(Tech_Weighted?="Yes", "", "N/A"), "")</f>
        <v>N/A</v>
      </c>
      <c r="H147"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47" s="380">
        <f t="array" ref="I14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47" s="383" t="s">
        <v>209</v>
      </c>
      <c r="K147" s="386" t="s">
        <v>24</v>
      </c>
      <c r="L147" s="385" t="s">
        <v>24</v>
      </c>
      <c r="M147" s="386" t="s">
        <v>958</v>
      </c>
      <c r="N147" s="387" t="str">
        <f>IF(OR('Project Info'!$B$20="SQ", Price_split=100), "No", "Yes")</f>
        <v>No</v>
      </c>
    </row>
    <row r="148" spans="1:14" ht="14">
      <c r="A148" s="402" t="str">
        <f>IF(TBL_008_Qs_Lot_1[[#This Row],[Type]]="Question", K149, IF(TBL_008_Qs_Lot_1[[#This Row],[Sub_No]]="N/A", "", CONCATENATE(TBL_008_Qs_Lot_1[[#This Row],[Q_No]], TBL_008_Qs_Lot_1[[#This Row],[Sub_No]])))</f>
        <v>Q4.1.1</v>
      </c>
      <c r="B148" s="402" t="s">
        <v>398</v>
      </c>
      <c r="C148" s="394"/>
      <c r="D148" s="386"/>
      <c r="E148" s="386"/>
      <c r="F148" s="403"/>
      <c r="G148" s="386" t="str">
        <f>IF(TBL_008_Qs_Lot_1[[#This Row],[Type]]="Question", IF(SQ_Weighted?="Yes", "", "N/A"), "")</f>
        <v/>
      </c>
      <c r="H14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8" s="380" t="str">
        <f t="array" ref="I14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8" s="391" t="s">
        <v>779</v>
      </c>
      <c r="K148" s="386" t="s">
        <v>1079</v>
      </c>
      <c r="L148" s="392" t="s">
        <v>1037</v>
      </c>
      <c r="M148" s="386" t="s">
        <v>958</v>
      </c>
      <c r="N148" s="387" t="str">
        <f>IF(OR('Project Info'!$B$20="SQ", Price_split=100), "No", "Yes")</f>
        <v>No</v>
      </c>
    </row>
    <row r="149" spans="1:14" ht="14">
      <c r="A149" s="402" t="str">
        <f>IF(TBL_008_Qs_Lot_1[[#This Row],[Type]]="Question", K150, IF(TBL_008_Qs_Lot_1[[#This Row],[Sub_No]]="N/A", "", CONCATENATE(TBL_008_Qs_Lot_1[[#This Row],[Q_No]], TBL_008_Qs_Lot_1[[#This Row],[Sub_No]])))</f>
        <v>Q4.1.2</v>
      </c>
      <c r="B149" s="402" t="s">
        <v>398</v>
      </c>
      <c r="C149" s="394"/>
      <c r="D149" s="386"/>
      <c r="E149" s="386"/>
      <c r="F149" s="403"/>
      <c r="G149" s="386" t="str">
        <f>IF(TBL_008_Qs_Lot_1[[#This Row],[Type]]="Question", IF(SQ_Weighted?="Yes", "", "N/A"), "")</f>
        <v/>
      </c>
      <c r="H14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49" s="380" t="str">
        <f t="array" ref="I14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49" s="391" t="s">
        <v>779</v>
      </c>
      <c r="K149" s="386" t="s">
        <v>1079</v>
      </c>
      <c r="L149" s="392" t="s">
        <v>1041</v>
      </c>
      <c r="M149" s="386" t="s">
        <v>958</v>
      </c>
      <c r="N149" s="387" t="str">
        <f>IF(OR('Project Info'!$B$20="SQ", Price_split=100), "No", "Yes")</f>
        <v>No</v>
      </c>
    </row>
    <row r="150" spans="1:14" ht="14">
      <c r="A150" s="402" t="str">
        <f>IF(TBL_008_Qs_Lot_1[[#This Row],[Type]]="Question", K151, IF(TBL_008_Qs_Lot_1[[#This Row],[Sub_No]]="N/A", "", CONCATENATE(TBL_008_Qs_Lot_1[[#This Row],[Q_No]], TBL_008_Qs_Lot_1[[#This Row],[Sub_No]])))</f>
        <v>Q4.1.3</v>
      </c>
      <c r="B150" s="402" t="s">
        <v>398</v>
      </c>
      <c r="C150" s="394"/>
      <c r="D150" s="386"/>
      <c r="E150" s="386"/>
      <c r="F150" s="403"/>
      <c r="G150" s="386" t="str">
        <f>IF(TBL_008_Qs_Lot_1[[#This Row],[Type]]="Question", IF(SQ_Weighted?="Yes", "", "N/A"), "")</f>
        <v/>
      </c>
      <c r="H15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0" s="380" t="str">
        <f t="array" ref="I15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0" s="391" t="s">
        <v>779</v>
      </c>
      <c r="K150" s="386" t="s">
        <v>1079</v>
      </c>
      <c r="L150" s="392" t="s">
        <v>1038</v>
      </c>
      <c r="M150" s="386" t="s">
        <v>958</v>
      </c>
      <c r="N150" s="387" t="str">
        <f>IF(OR('Project Info'!$B$20="SQ", Price_split=100), "No", "Yes")</f>
        <v>No</v>
      </c>
    </row>
    <row r="151" spans="1:14" ht="14">
      <c r="A151" s="402" t="str">
        <f>IF(TBL_008_Qs_Lot_1[[#This Row],[Type]]="Question", K152, IF(TBL_008_Qs_Lot_1[[#This Row],[Sub_No]]="N/A", "", CONCATENATE(TBL_008_Qs_Lot_1[[#This Row],[Q_No]], TBL_008_Qs_Lot_1[[#This Row],[Sub_No]])))</f>
        <v>Q4.1.4</v>
      </c>
      <c r="B151" s="402" t="s">
        <v>398</v>
      </c>
      <c r="C151" s="394"/>
      <c r="D151" s="386"/>
      <c r="E151" s="386"/>
      <c r="F151" s="403"/>
      <c r="G151" s="386" t="str">
        <f>IF(TBL_008_Qs_Lot_1[[#This Row],[Type]]="Question", IF(SQ_Weighted?="Yes", "", "N/A"), "")</f>
        <v/>
      </c>
      <c r="H15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1" s="380" t="str">
        <f t="array" ref="I15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1" s="391" t="s">
        <v>779</v>
      </c>
      <c r="K151" s="386" t="s">
        <v>1079</v>
      </c>
      <c r="L151" s="392" t="s">
        <v>1039</v>
      </c>
      <c r="M151" s="386" t="s">
        <v>958</v>
      </c>
      <c r="N151" s="387" t="str">
        <f>IF(OR('Project Info'!$B$20="SQ", Price_split=100), "No", "Yes")</f>
        <v>No</v>
      </c>
    </row>
    <row r="152" spans="1:14" ht="14">
      <c r="A152" s="402" t="str">
        <f>IF(TBL_008_Qs_Lot_1[[#This Row],[Type]]="Question", K153, IF(TBL_008_Qs_Lot_1[[#This Row],[Sub_No]]="N/A", "", CONCATENATE(TBL_008_Qs_Lot_1[[#This Row],[Q_No]], TBL_008_Qs_Lot_1[[#This Row],[Sub_No]])))</f>
        <v>Q4.1.5</v>
      </c>
      <c r="B152" s="402" t="s">
        <v>398</v>
      </c>
      <c r="C152" s="394"/>
      <c r="D152" s="386"/>
      <c r="E152" s="386"/>
      <c r="F152" s="403"/>
      <c r="G152" s="386" t="str">
        <f>IF(TBL_008_Qs_Lot_1[[#This Row],[Type]]="Question", IF(SQ_Weighted?="Yes", "", "N/A"), "")</f>
        <v/>
      </c>
      <c r="H15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2" s="380" t="str">
        <f t="array" ref="I15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2" s="391" t="s">
        <v>779</v>
      </c>
      <c r="K152" s="386" t="s">
        <v>1079</v>
      </c>
      <c r="L152" s="392" t="s">
        <v>1040</v>
      </c>
      <c r="M152" s="386" t="s">
        <v>958</v>
      </c>
      <c r="N152" s="387" t="str">
        <f>IF(OR('Project Info'!$B$20="SQ", Price_split=100), "No", "Yes")</f>
        <v>No</v>
      </c>
    </row>
    <row r="153" spans="1:14" ht="14">
      <c r="A153" s="402" t="str">
        <f>IF(TBL_008_Qs_Lot_1[[#This Row],[Type]]="Question", K154, IF(TBL_008_Qs_Lot_1[[#This Row],[Sub_No]]="N/A", "", CONCATENATE(TBL_008_Qs_Lot_1[[#This Row],[Q_No]], TBL_008_Qs_Lot_1[[#This Row],[Sub_No]])))</f>
        <v>Q4.1.6</v>
      </c>
      <c r="B153" s="402" t="s">
        <v>398</v>
      </c>
      <c r="C153" s="394"/>
      <c r="D153" s="386"/>
      <c r="E153" s="386"/>
      <c r="F153" s="403"/>
      <c r="G153" s="386" t="str">
        <f>IF(TBL_008_Qs_Lot_1[[#This Row],[Type]]="Question", IF(SQ_Weighted?="Yes", "", "N/A"), "")</f>
        <v/>
      </c>
      <c r="H15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3" s="380" t="str">
        <f t="array" ref="I15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3" s="391" t="s">
        <v>779</v>
      </c>
      <c r="K153" s="386" t="s">
        <v>1079</v>
      </c>
      <c r="L153" s="392" t="s">
        <v>1042</v>
      </c>
      <c r="M153" s="386" t="s">
        <v>958</v>
      </c>
      <c r="N153" s="387" t="str">
        <f>IF(OR('Project Info'!$B$20="SQ", Price_split=100), "No", "Yes")</f>
        <v>No</v>
      </c>
    </row>
    <row r="154" spans="1:14" ht="14">
      <c r="A154" s="402" t="str">
        <f>IF(TBL_008_Qs_Lot_1[[#This Row],[Type]]="Question", K155, IF(TBL_008_Qs_Lot_1[[#This Row],[Sub_No]]="N/A", "", CONCATENATE(TBL_008_Qs_Lot_1[[#This Row],[Q_No]], TBL_008_Qs_Lot_1[[#This Row],[Sub_No]])))</f>
        <v>Q4.1.7</v>
      </c>
      <c r="B154" s="402" t="s">
        <v>398</v>
      </c>
      <c r="C154" s="394"/>
      <c r="D154" s="386"/>
      <c r="E154" s="386"/>
      <c r="F154" s="403"/>
      <c r="G154" s="386" t="str">
        <f>IF(TBL_008_Qs_Lot_1[[#This Row],[Type]]="Question", IF(SQ_Weighted?="Yes", "", "N/A"), "")</f>
        <v/>
      </c>
      <c r="H15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4" s="380" t="str">
        <f t="array" ref="I15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4" s="391" t="s">
        <v>779</v>
      </c>
      <c r="K154" s="386" t="s">
        <v>1079</v>
      </c>
      <c r="L154" s="392" t="s">
        <v>1043</v>
      </c>
      <c r="M154" s="386" t="s">
        <v>958</v>
      </c>
      <c r="N154" s="387" t="str">
        <f>IF(OR('Project Info'!$B$20="SQ", Price_split=100), "No", "Yes")</f>
        <v>No</v>
      </c>
    </row>
    <row r="155" spans="1:14" ht="14">
      <c r="A155" s="402" t="str">
        <f>IF(TBL_008_Qs_Lot_1[[#This Row],[Type]]="Question", K156, IF(TBL_008_Qs_Lot_1[[#This Row],[Sub_No]]="N/A", "", CONCATENATE(TBL_008_Qs_Lot_1[[#This Row],[Q_No]], TBL_008_Qs_Lot_1[[#This Row],[Sub_No]])))</f>
        <v>Q4.1.8</v>
      </c>
      <c r="B155" s="402" t="s">
        <v>398</v>
      </c>
      <c r="C155" s="394"/>
      <c r="D155" s="386"/>
      <c r="E155" s="386"/>
      <c r="F155" s="403"/>
      <c r="G155" s="386" t="str">
        <f>IF(TBL_008_Qs_Lot_1[[#This Row],[Type]]="Question", IF(SQ_Weighted?="Yes", "", "N/A"), "")</f>
        <v/>
      </c>
      <c r="H15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5" s="380" t="str">
        <f t="array" ref="I15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5" s="391" t="s">
        <v>779</v>
      </c>
      <c r="K155" s="386" t="s">
        <v>1079</v>
      </c>
      <c r="L155" s="392" t="s">
        <v>1044</v>
      </c>
      <c r="M155" s="386" t="s">
        <v>958</v>
      </c>
      <c r="N155" s="387" t="str">
        <f>IF(OR('Project Info'!$B$20="SQ", Price_split=100), "No", "Yes")</f>
        <v>No</v>
      </c>
    </row>
    <row r="156" spans="1:14" ht="14">
      <c r="A156" s="402" t="str">
        <f>IF(TBL_008_Qs_Lot_1[[#This Row],[Type]]="Question", K157, IF(TBL_008_Qs_Lot_1[[#This Row],[Sub_No]]="N/A", "", CONCATENATE(TBL_008_Qs_Lot_1[[#This Row],[Q_No]], TBL_008_Qs_Lot_1[[#This Row],[Sub_No]])))</f>
        <v>Q4.1.9</v>
      </c>
      <c r="B156" s="402" t="s">
        <v>398</v>
      </c>
      <c r="C156" s="394"/>
      <c r="D156" s="386"/>
      <c r="E156" s="386"/>
      <c r="F156" s="403"/>
      <c r="G156" s="386" t="str">
        <f>IF(TBL_008_Qs_Lot_1[[#This Row],[Type]]="Question", IF(SQ_Weighted?="Yes", "", "N/A"), "")</f>
        <v/>
      </c>
      <c r="H15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6" s="380" t="str">
        <f t="array" ref="I15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6" s="391" t="s">
        <v>779</v>
      </c>
      <c r="K156" s="386" t="s">
        <v>1079</v>
      </c>
      <c r="L156" s="392" t="s">
        <v>1045</v>
      </c>
      <c r="M156" s="386" t="s">
        <v>958</v>
      </c>
      <c r="N156" s="387" t="str">
        <f>IF(OR('Project Info'!$B$20="SQ", Price_split=100), "No", "Yes")</f>
        <v>No</v>
      </c>
    </row>
    <row r="157" spans="1:14" ht="14">
      <c r="A157" s="402" t="str">
        <f>IF(TBL_008_Qs_Lot_1[[#This Row],[Type]]="Question", K158, IF(TBL_008_Qs_Lot_1[[#This Row],[Sub_No]]="N/A", "", CONCATENATE(TBL_008_Qs_Lot_1[[#This Row],[Q_No]], TBL_008_Qs_Lot_1[[#This Row],[Sub_No]])))</f>
        <v>Q4.1.10</v>
      </c>
      <c r="B157" s="402" t="s">
        <v>398</v>
      </c>
      <c r="C157" s="394"/>
      <c r="D157" s="386"/>
      <c r="E157" s="386"/>
      <c r="F157" s="403"/>
      <c r="G157" s="386" t="str">
        <f>IF(TBL_008_Qs_Lot_1[[#This Row],[Type]]="Question", IF(SQ_Weighted?="Yes", "", "N/A"), "")</f>
        <v/>
      </c>
      <c r="H15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7" s="380" t="str">
        <f t="array" ref="I15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7" s="391" t="s">
        <v>779</v>
      </c>
      <c r="K157" s="386" t="s">
        <v>1079</v>
      </c>
      <c r="L157" s="392" t="s">
        <v>1046</v>
      </c>
      <c r="M157" s="386" t="s">
        <v>958</v>
      </c>
      <c r="N157" s="387" t="str">
        <f>IF(OR('Project Info'!$B$20="SQ", Price_split=100), "No", "Yes")</f>
        <v>No</v>
      </c>
    </row>
    <row r="158" spans="1:14" ht="14">
      <c r="A158" s="378" t="str">
        <f>IF(TBL_008_Qs_Lot_1[[#This Row],[Type]]="Question", K159, IF(TBL_008_Qs_Lot_1[[#This Row],[Sub_No]]="N/A", "", CONCATENATE(TBL_008_Qs_Lot_1[[#This Row],[Q_No]], TBL_008_Qs_Lot_1[[#This Row],[Sub_No]])))</f>
        <v>Q4.2</v>
      </c>
      <c r="B158" s="378" t="s">
        <v>398</v>
      </c>
      <c r="C158" s="398"/>
      <c r="D158" s="401"/>
      <c r="E158" s="401"/>
      <c r="F158" s="382">
        <f>TBL_008_Qs_Lot_1[[#This Row],[No.subs]]*500</f>
        <v>0</v>
      </c>
      <c r="G158" s="380" t="str">
        <f>IF(TBL_008_Qs_Lot_1[[#This Row],[Type]]="Question", IF(Tech_Weighted?="Yes", "", "N/A"), "")</f>
        <v>N/A</v>
      </c>
      <c r="H158"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58" s="380">
        <f t="array" ref="I15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58" s="383" t="s">
        <v>209</v>
      </c>
      <c r="K158" s="386" t="s">
        <v>24</v>
      </c>
      <c r="L158" s="385" t="s">
        <v>24</v>
      </c>
      <c r="M158" s="386" t="s">
        <v>958</v>
      </c>
      <c r="N158" s="387" t="str">
        <f>IF(OR('Project Info'!$B$20="SQ", Price_split=100), "No", "Yes")</f>
        <v>No</v>
      </c>
    </row>
    <row r="159" spans="1:14" ht="14">
      <c r="A159" s="402" t="str">
        <f>IF(TBL_008_Qs_Lot_1[[#This Row],[Type]]="Question", K160, IF(TBL_008_Qs_Lot_1[[#This Row],[Sub_No]]="N/A", "", CONCATENATE(TBL_008_Qs_Lot_1[[#This Row],[Q_No]], TBL_008_Qs_Lot_1[[#This Row],[Sub_No]])))</f>
        <v>Q4.2.1</v>
      </c>
      <c r="B159" s="402" t="s">
        <v>398</v>
      </c>
      <c r="C159" s="394"/>
      <c r="D159" s="386"/>
      <c r="E159" s="386"/>
      <c r="F159" s="403"/>
      <c r="G159" s="386" t="str">
        <f>IF(TBL_008_Qs_Lot_1[[#This Row],[Type]]="Question", IF(SQ_Weighted?="Yes", "", "N/A"), "")</f>
        <v/>
      </c>
      <c r="H15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59" s="380" t="str">
        <f t="array" ref="I15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59" s="391" t="s">
        <v>779</v>
      </c>
      <c r="K159" s="386" t="s">
        <v>1080</v>
      </c>
      <c r="L159" s="392" t="s">
        <v>1037</v>
      </c>
      <c r="M159" s="386" t="s">
        <v>958</v>
      </c>
      <c r="N159" s="387" t="str">
        <f>IF(OR('Project Info'!$B$20="SQ", Price_split=100), "No", "Yes")</f>
        <v>No</v>
      </c>
    </row>
    <row r="160" spans="1:14" ht="14">
      <c r="A160" s="402" t="str">
        <f>IF(TBL_008_Qs_Lot_1[[#This Row],[Type]]="Question", K161, IF(TBL_008_Qs_Lot_1[[#This Row],[Sub_No]]="N/A", "", CONCATENATE(TBL_008_Qs_Lot_1[[#This Row],[Q_No]], TBL_008_Qs_Lot_1[[#This Row],[Sub_No]])))</f>
        <v>Q4.2.2</v>
      </c>
      <c r="B160" s="402" t="s">
        <v>398</v>
      </c>
      <c r="C160" s="394"/>
      <c r="D160" s="386"/>
      <c r="E160" s="386"/>
      <c r="F160" s="403"/>
      <c r="G160" s="386" t="str">
        <f>IF(TBL_008_Qs_Lot_1[[#This Row],[Type]]="Question", IF(SQ_Weighted?="Yes", "", "N/A"), "")</f>
        <v/>
      </c>
      <c r="H16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0" s="380" t="str">
        <f t="array" ref="I16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0" s="391" t="s">
        <v>779</v>
      </c>
      <c r="K160" s="386" t="s">
        <v>1080</v>
      </c>
      <c r="L160" s="392" t="s">
        <v>1041</v>
      </c>
      <c r="M160" s="386" t="s">
        <v>958</v>
      </c>
      <c r="N160" s="387" t="str">
        <f>IF(OR('Project Info'!$B$20="SQ", Price_split=100), "No", "Yes")</f>
        <v>No</v>
      </c>
    </row>
    <row r="161" spans="1:14" ht="14">
      <c r="A161" s="402" t="str">
        <f>IF(TBL_008_Qs_Lot_1[[#This Row],[Type]]="Question", K162, IF(TBL_008_Qs_Lot_1[[#This Row],[Sub_No]]="N/A", "", CONCATENATE(TBL_008_Qs_Lot_1[[#This Row],[Q_No]], TBL_008_Qs_Lot_1[[#This Row],[Sub_No]])))</f>
        <v>Q4.2.3</v>
      </c>
      <c r="B161" s="402" t="s">
        <v>398</v>
      </c>
      <c r="C161" s="394"/>
      <c r="D161" s="386"/>
      <c r="E161" s="386"/>
      <c r="F161" s="403"/>
      <c r="G161" s="386" t="str">
        <f>IF(TBL_008_Qs_Lot_1[[#This Row],[Type]]="Question", IF(SQ_Weighted?="Yes", "", "N/A"), "")</f>
        <v/>
      </c>
      <c r="H16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1" s="380" t="str">
        <f t="array" ref="I16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1" s="391" t="s">
        <v>779</v>
      </c>
      <c r="K161" s="386" t="s">
        <v>1080</v>
      </c>
      <c r="L161" s="392" t="s">
        <v>1038</v>
      </c>
      <c r="M161" s="386" t="s">
        <v>958</v>
      </c>
      <c r="N161" s="387" t="str">
        <f>IF(OR('Project Info'!$B$20="SQ", Price_split=100), "No", "Yes")</f>
        <v>No</v>
      </c>
    </row>
    <row r="162" spans="1:14" ht="14">
      <c r="A162" s="402" t="str">
        <f>IF(TBL_008_Qs_Lot_1[[#This Row],[Type]]="Question", K163, IF(TBL_008_Qs_Lot_1[[#This Row],[Sub_No]]="N/A", "", CONCATENATE(TBL_008_Qs_Lot_1[[#This Row],[Q_No]], TBL_008_Qs_Lot_1[[#This Row],[Sub_No]])))</f>
        <v>Q4.2.4</v>
      </c>
      <c r="B162" s="402" t="s">
        <v>398</v>
      </c>
      <c r="C162" s="394"/>
      <c r="D162" s="386"/>
      <c r="E162" s="386"/>
      <c r="F162" s="403"/>
      <c r="G162" s="386" t="str">
        <f>IF(TBL_008_Qs_Lot_1[[#This Row],[Type]]="Question", IF(SQ_Weighted?="Yes", "", "N/A"), "")</f>
        <v/>
      </c>
      <c r="H16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2" s="380" t="str">
        <f t="array" ref="I16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2" s="391" t="s">
        <v>779</v>
      </c>
      <c r="K162" s="386" t="s">
        <v>1080</v>
      </c>
      <c r="L162" s="392" t="s">
        <v>1039</v>
      </c>
      <c r="M162" s="386" t="s">
        <v>958</v>
      </c>
      <c r="N162" s="387" t="str">
        <f>IF(OR('Project Info'!$B$20="SQ", Price_split=100), "No", "Yes")</f>
        <v>No</v>
      </c>
    </row>
    <row r="163" spans="1:14" ht="14">
      <c r="A163" s="402" t="str">
        <f>IF(TBL_008_Qs_Lot_1[[#This Row],[Type]]="Question", K164, IF(TBL_008_Qs_Lot_1[[#This Row],[Sub_No]]="N/A", "", CONCATENATE(TBL_008_Qs_Lot_1[[#This Row],[Q_No]], TBL_008_Qs_Lot_1[[#This Row],[Sub_No]])))</f>
        <v>Q4.2.5</v>
      </c>
      <c r="B163" s="402" t="s">
        <v>398</v>
      </c>
      <c r="C163" s="394"/>
      <c r="D163" s="386"/>
      <c r="E163" s="386"/>
      <c r="F163" s="403"/>
      <c r="G163" s="386" t="str">
        <f>IF(TBL_008_Qs_Lot_1[[#This Row],[Type]]="Question", IF(SQ_Weighted?="Yes", "", "N/A"), "")</f>
        <v/>
      </c>
      <c r="H16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3" s="380" t="str">
        <f t="array" ref="I16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3" s="391" t="s">
        <v>779</v>
      </c>
      <c r="K163" s="386" t="s">
        <v>1080</v>
      </c>
      <c r="L163" s="392" t="s">
        <v>1040</v>
      </c>
      <c r="M163" s="386" t="s">
        <v>958</v>
      </c>
      <c r="N163" s="387" t="str">
        <f>IF(OR('Project Info'!$B$20="SQ", Price_split=100), "No", "Yes")</f>
        <v>No</v>
      </c>
    </row>
    <row r="164" spans="1:14" ht="14">
      <c r="A164" s="402" t="str">
        <f>IF(TBL_008_Qs_Lot_1[[#This Row],[Type]]="Question", K165, IF(TBL_008_Qs_Lot_1[[#This Row],[Sub_No]]="N/A", "", CONCATENATE(TBL_008_Qs_Lot_1[[#This Row],[Q_No]], TBL_008_Qs_Lot_1[[#This Row],[Sub_No]])))</f>
        <v>Q4.2.6</v>
      </c>
      <c r="B164" s="402" t="s">
        <v>398</v>
      </c>
      <c r="C164" s="394"/>
      <c r="D164" s="386"/>
      <c r="E164" s="386"/>
      <c r="F164" s="403"/>
      <c r="G164" s="386" t="str">
        <f>IF(TBL_008_Qs_Lot_1[[#This Row],[Type]]="Question", IF(SQ_Weighted?="Yes", "", "N/A"), "")</f>
        <v/>
      </c>
      <c r="H16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4" s="380" t="str">
        <f t="array" ref="I16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4" s="391" t="s">
        <v>779</v>
      </c>
      <c r="K164" s="386" t="s">
        <v>1080</v>
      </c>
      <c r="L164" s="392" t="s">
        <v>1042</v>
      </c>
      <c r="M164" s="386" t="s">
        <v>958</v>
      </c>
      <c r="N164" s="387" t="str">
        <f>IF(OR('Project Info'!$B$20="SQ", Price_split=100), "No", "Yes")</f>
        <v>No</v>
      </c>
    </row>
    <row r="165" spans="1:14" ht="14">
      <c r="A165" s="402" t="str">
        <f>IF(TBL_008_Qs_Lot_1[[#This Row],[Type]]="Question", K166, IF(TBL_008_Qs_Lot_1[[#This Row],[Sub_No]]="N/A", "", CONCATENATE(TBL_008_Qs_Lot_1[[#This Row],[Q_No]], TBL_008_Qs_Lot_1[[#This Row],[Sub_No]])))</f>
        <v>Q4.2.7</v>
      </c>
      <c r="B165" s="402" t="s">
        <v>398</v>
      </c>
      <c r="C165" s="394"/>
      <c r="D165" s="386"/>
      <c r="E165" s="386"/>
      <c r="F165" s="403"/>
      <c r="G165" s="386" t="str">
        <f>IF(TBL_008_Qs_Lot_1[[#This Row],[Type]]="Question", IF(SQ_Weighted?="Yes", "", "N/A"), "")</f>
        <v/>
      </c>
      <c r="H16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5" s="380" t="str">
        <f t="array" ref="I16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5" s="391" t="s">
        <v>779</v>
      </c>
      <c r="K165" s="386" t="s">
        <v>1080</v>
      </c>
      <c r="L165" s="392" t="s">
        <v>1043</v>
      </c>
      <c r="M165" s="386" t="s">
        <v>958</v>
      </c>
      <c r="N165" s="387" t="str">
        <f>IF(OR('Project Info'!$B$20="SQ", Price_split=100), "No", "Yes")</f>
        <v>No</v>
      </c>
    </row>
    <row r="166" spans="1:14" ht="14">
      <c r="A166" s="402" t="str">
        <f>IF(TBL_008_Qs_Lot_1[[#This Row],[Type]]="Question", K167, IF(TBL_008_Qs_Lot_1[[#This Row],[Sub_No]]="N/A", "", CONCATENATE(TBL_008_Qs_Lot_1[[#This Row],[Q_No]], TBL_008_Qs_Lot_1[[#This Row],[Sub_No]])))</f>
        <v>Q4.2.8</v>
      </c>
      <c r="B166" s="402" t="s">
        <v>398</v>
      </c>
      <c r="C166" s="394"/>
      <c r="D166" s="386"/>
      <c r="E166" s="386"/>
      <c r="F166" s="403"/>
      <c r="G166" s="386" t="str">
        <f>IF(TBL_008_Qs_Lot_1[[#This Row],[Type]]="Question", IF(SQ_Weighted?="Yes", "", "N/A"), "")</f>
        <v/>
      </c>
      <c r="H16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6" s="380" t="str">
        <f t="array" ref="I16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6" s="391" t="s">
        <v>779</v>
      </c>
      <c r="K166" s="386" t="s">
        <v>1080</v>
      </c>
      <c r="L166" s="392" t="s">
        <v>1044</v>
      </c>
      <c r="M166" s="386" t="s">
        <v>958</v>
      </c>
      <c r="N166" s="387" t="str">
        <f>IF(OR('Project Info'!$B$20="SQ", Price_split=100), "No", "Yes")</f>
        <v>No</v>
      </c>
    </row>
    <row r="167" spans="1:14" ht="14">
      <c r="A167" s="402" t="str">
        <f>IF(TBL_008_Qs_Lot_1[[#This Row],[Type]]="Question", K168, IF(TBL_008_Qs_Lot_1[[#This Row],[Sub_No]]="N/A", "", CONCATENATE(TBL_008_Qs_Lot_1[[#This Row],[Q_No]], TBL_008_Qs_Lot_1[[#This Row],[Sub_No]])))</f>
        <v>Q4.2.9</v>
      </c>
      <c r="B167" s="402" t="s">
        <v>398</v>
      </c>
      <c r="C167" s="394"/>
      <c r="D167" s="386"/>
      <c r="E167" s="386"/>
      <c r="F167" s="403"/>
      <c r="G167" s="386" t="str">
        <f>IF(TBL_008_Qs_Lot_1[[#This Row],[Type]]="Question", IF(SQ_Weighted?="Yes", "", "N/A"), "")</f>
        <v/>
      </c>
      <c r="H16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7" s="380" t="str">
        <f t="array" ref="I16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7" s="391" t="s">
        <v>779</v>
      </c>
      <c r="K167" s="386" t="s">
        <v>1080</v>
      </c>
      <c r="L167" s="392" t="s">
        <v>1045</v>
      </c>
      <c r="M167" s="386" t="s">
        <v>958</v>
      </c>
      <c r="N167" s="387" t="str">
        <f>IF(OR('Project Info'!$B$20="SQ", Price_split=100), "No", "Yes")</f>
        <v>No</v>
      </c>
    </row>
    <row r="168" spans="1:14" ht="14">
      <c r="A168" s="402" t="str">
        <f>IF(TBL_008_Qs_Lot_1[[#This Row],[Type]]="Question", K169, IF(TBL_008_Qs_Lot_1[[#This Row],[Sub_No]]="N/A", "", CONCATENATE(TBL_008_Qs_Lot_1[[#This Row],[Q_No]], TBL_008_Qs_Lot_1[[#This Row],[Sub_No]])))</f>
        <v>Q4.2.10</v>
      </c>
      <c r="B168" s="402" t="s">
        <v>398</v>
      </c>
      <c r="C168" s="394"/>
      <c r="D168" s="386"/>
      <c r="E168" s="386"/>
      <c r="F168" s="403"/>
      <c r="G168" s="386" t="str">
        <f>IF(TBL_008_Qs_Lot_1[[#This Row],[Type]]="Question", IF(SQ_Weighted?="Yes", "", "N/A"), "")</f>
        <v/>
      </c>
      <c r="H16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68" s="380" t="str">
        <f t="array" ref="I16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68" s="391" t="s">
        <v>779</v>
      </c>
      <c r="K168" s="386" t="s">
        <v>1080</v>
      </c>
      <c r="L168" s="392" t="s">
        <v>1046</v>
      </c>
      <c r="M168" s="386" t="s">
        <v>958</v>
      </c>
      <c r="N168" s="387" t="str">
        <f>IF(OR('Project Info'!$B$20="SQ", Price_split=100), "No", "Yes")</f>
        <v>No</v>
      </c>
    </row>
    <row r="169" spans="1:14" ht="14">
      <c r="A169" s="378" t="str">
        <f>IF(TBL_008_Qs_Lot_1[[#This Row],[Type]]="Question", K170, IF(TBL_008_Qs_Lot_1[[#This Row],[Sub_No]]="N/A", "", CONCATENATE(TBL_008_Qs_Lot_1[[#This Row],[Q_No]], TBL_008_Qs_Lot_1[[#This Row],[Sub_No]])))</f>
        <v>Q4.3</v>
      </c>
      <c r="B169" s="378" t="s">
        <v>398</v>
      </c>
      <c r="C169" s="398"/>
      <c r="D169" s="401"/>
      <c r="E169" s="401"/>
      <c r="F169" s="382">
        <f>TBL_008_Qs_Lot_1[[#This Row],[No.subs]]*500</f>
        <v>0</v>
      </c>
      <c r="G169" s="380" t="str">
        <f>IF(TBL_008_Qs_Lot_1[[#This Row],[Type]]="Question", IF(Tech_Weighted?="Yes", "", "N/A"), "")</f>
        <v>N/A</v>
      </c>
      <c r="H169"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69" s="380">
        <f t="array" ref="I16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69" s="383" t="s">
        <v>209</v>
      </c>
      <c r="K169" s="386" t="s">
        <v>24</v>
      </c>
      <c r="L169" s="385" t="s">
        <v>24</v>
      </c>
      <c r="M169" s="386" t="s">
        <v>958</v>
      </c>
      <c r="N169" s="387" t="str">
        <f>IF(OR('Project Info'!$B$20="SQ", Price_split=100), "No", "Yes")</f>
        <v>No</v>
      </c>
    </row>
    <row r="170" spans="1:14" ht="14">
      <c r="A170" s="402" t="str">
        <f>IF(TBL_008_Qs_Lot_1[[#This Row],[Type]]="Question", K171, IF(TBL_008_Qs_Lot_1[[#This Row],[Sub_No]]="N/A", "", CONCATENATE(TBL_008_Qs_Lot_1[[#This Row],[Q_No]], TBL_008_Qs_Lot_1[[#This Row],[Sub_No]])))</f>
        <v>Q4.3.1</v>
      </c>
      <c r="B170" s="402" t="s">
        <v>398</v>
      </c>
      <c r="C170" s="394"/>
      <c r="D170" s="386"/>
      <c r="E170" s="386"/>
      <c r="F170" s="403"/>
      <c r="G170" s="386" t="str">
        <f>IF(TBL_008_Qs_Lot_1[[#This Row],[Type]]="Question", IF(SQ_Weighted?="Yes", "", "N/A"), "")</f>
        <v/>
      </c>
      <c r="H17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0" s="380" t="str">
        <f t="array" ref="I17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0" s="391" t="s">
        <v>779</v>
      </c>
      <c r="K170" s="386" t="s">
        <v>1081</v>
      </c>
      <c r="L170" s="392" t="s">
        <v>1037</v>
      </c>
      <c r="M170" s="386" t="s">
        <v>958</v>
      </c>
      <c r="N170" s="387" t="str">
        <f>IF(OR('Project Info'!$B$20="SQ", Price_split=100), "No", "Yes")</f>
        <v>No</v>
      </c>
    </row>
    <row r="171" spans="1:14" ht="14">
      <c r="A171" s="402" t="str">
        <f>IF(TBL_008_Qs_Lot_1[[#This Row],[Type]]="Question", K172, IF(TBL_008_Qs_Lot_1[[#This Row],[Sub_No]]="N/A", "", CONCATENATE(TBL_008_Qs_Lot_1[[#This Row],[Q_No]], TBL_008_Qs_Lot_1[[#This Row],[Sub_No]])))</f>
        <v>Q4.3.2</v>
      </c>
      <c r="B171" s="402" t="s">
        <v>398</v>
      </c>
      <c r="C171" s="394"/>
      <c r="D171" s="386"/>
      <c r="E171" s="386"/>
      <c r="F171" s="403"/>
      <c r="G171" s="386" t="str">
        <f>IF(TBL_008_Qs_Lot_1[[#This Row],[Type]]="Question", IF(SQ_Weighted?="Yes", "", "N/A"), "")</f>
        <v/>
      </c>
      <c r="H17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1" s="380" t="str">
        <f t="array" ref="I17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1" s="391" t="s">
        <v>779</v>
      </c>
      <c r="K171" s="386" t="s">
        <v>1081</v>
      </c>
      <c r="L171" s="392" t="s">
        <v>1041</v>
      </c>
      <c r="M171" s="386" t="s">
        <v>958</v>
      </c>
      <c r="N171" s="387" t="str">
        <f>IF(OR('Project Info'!$B$20="SQ", Price_split=100), "No", "Yes")</f>
        <v>No</v>
      </c>
    </row>
    <row r="172" spans="1:14" ht="14">
      <c r="A172" s="402" t="str">
        <f>IF(TBL_008_Qs_Lot_1[[#This Row],[Type]]="Question", K173, IF(TBL_008_Qs_Lot_1[[#This Row],[Sub_No]]="N/A", "", CONCATENATE(TBL_008_Qs_Lot_1[[#This Row],[Q_No]], TBL_008_Qs_Lot_1[[#This Row],[Sub_No]])))</f>
        <v>Q4.3.3</v>
      </c>
      <c r="B172" s="402" t="s">
        <v>398</v>
      </c>
      <c r="C172" s="394"/>
      <c r="D172" s="386"/>
      <c r="E172" s="386"/>
      <c r="F172" s="403"/>
      <c r="G172" s="386" t="str">
        <f>IF(TBL_008_Qs_Lot_1[[#This Row],[Type]]="Question", IF(SQ_Weighted?="Yes", "", "N/A"), "")</f>
        <v/>
      </c>
      <c r="H17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2" s="380" t="str">
        <f t="array" ref="I17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2" s="391" t="s">
        <v>779</v>
      </c>
      <c r="K172" s="386" t="s">
        <v>1081</v>
      </c>
      <c r="L172" s="392" t="s">
        <v>1038</v>
      </c>
      <c r="M172" s="386" t="s">
        <v>958</v>
      </c>
      <c r="N172" s="387" t="str">
        <f>IF(OR('Project Info'!$B$20="SQ", Price_split=100), "No", "Yes")</f>
        <v>No</v>
      </c>
    </row>
    <row r="173" spans="1:14" ht="14">
      <c r="A173" s="402" t="str">
        <f>IF(TBL_008_Qs_Lot_1[[#This Row],[Type]]="Question", K174, IF(TBL_008_Qs_Lot_1[[#This Row],[Sub_No]]="N/A", "", CONCATENATE(TBL_008_Qs_Lot_1[[#This Row],[Q_No]], TBL_008_Qs_Lot_1[[#This Row],[Sub_No]])))</f>
        <v>Q4.3.4</v>
      </c>
      <c r="B173" s="402" t="s">
        <v>398</v>
      </c>
      <c r="C173" s="394"/>
      <c r="D173" s="386"/>
      <c r="E173" s="386"/>
      <c r="F173" s="403"/>
      <c r="G173" s="386" t="str">
        <f>IF(TBL_008_Qs_Lot_1[[#This Row],[Type]]="Question", IF(SQ_Weighted?="Yes", "", "N/A"), "")</f>
        <v/>
      </c>
      <c r="H17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3" s="380" t="str">
        <f t="array" ref="I17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3" s="391" t="s">
        <v>779</v>
      </c>
      <c r="K173" s="386" t="s">
        <v>1081</v>
      </c>
      <c r="L173" s="392" t="s">
        <v>1039</v>
      </c>
      <c r="M173" s="386" t="s">
        <v>958</v>
      </c>
      <c r="N173" s="387" t="str">
        <f>IF(OR('Project Info'!$B$20="SQ", Price_split=100), "No", "Yes")</f>
        <v>No</v>
      </c>
    </row>
    <row r="174" spans="1:14" ht="14">
      <c r="A174" s="402" t="str">
        <f>IF(TBL_008_Qs_Lot_1[[#This Row],[Type]]="Question", K175, IF(TBL_008_Qs_Lot_1[[#This Row],[Sub_No]]="N/A", "", CONCATENATE(TBL_008_Qs_Lot_1[[#This Row],[Q_No]], TBL_008_Qs_Lot_1[[#This Row],[Sub_No]])))</f>
        <v>Q4.3.5</v>
      </c>
      <c r="B174" s="402" t="s">
        <v>398</v>
      </c>
      <c r="C174" s="394"/>
      <c r="D174" s="386"/>
      <c r="E174" s="386"/>
      <c r="F174" s="403"/>
      <c r="G174" s="386" t="str">
        <f>IF(TBL_008_Qs_Lot_1[[#This Row],[Type]]="Question", IF(SQ_Weighted?="Yes", "", "N/A"), "")</f>
        <v/>
      </c>
      <c r="H17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4" s="380" t="str">
        <f t="array" ref="I17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4" s="391" t="s">
        <v>779</v>
      </c>
      <c r="K174" s="386" t="s">
        <v>1081</v>
      </c>
      <c r="L174" s="392" t="s">
        <v>1040</v>
      </c>
      <c r="M174" s="386" t="s">
        <v>958</v>
      </c>
      <c r="N174" s="387" t="str">
        <f>IF(OR('Project Info'!$B$20="SQ", Price_split=100), "No", "Yes")</f>
        <v>No</v>
      </c>
    </row>
    <row r="175" spans="1:14" ht="14">
      <c r="A175" s="402" t="str">
        <f>IF(TBL_008_Qs_Lot_1[[#This Row],[Type]]="Question", K176, IF(TBL_008_Qs_Lot_1[[#This Row],[Sub_No]]="N/A", "", CONCATENATE(TBL_008_Qs_Lot_1[[#This Row],[Q_No]], TBL_008_Qs_Lot_1[[#This Row],[Sub_No]])))</f>
        <v>Q4.3.6</v>
      </c>
      <c r="B175" s="402" t="s">
        <v>398</v>
      </c>
      <c r="C175" s="394"/>
      <c r="D175" s="386"/>
      <c r="E175" s="386"/>
      <c r="F175" s="403"/>
      <c r="G175" s="386" t="str">
        <f>IF(TBL_008_Qs_Lot_1[[#This Row],[Type]]="Question", IF(SQ_Weighted?="Yes", "", "N/A"), "")</f>
        <v/>
      </c>
      <c r="H17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5" s="380" t="str">
        <f t="array" ref="I17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5" s="391" t="s">
        <v>779</v>
      </c>
      <c r="K175" s="386" t="s">
        <v>1081</v>
      </c>
      <c r="L175" s="392" t="s">
        <v>1042</v>
      </c>
      <c r="M175" s="386" t="s">
        <v>958</v>
      </c>
      <c r="N175" s="387" t="str">
        <f>IF(OR('Project Info'!$B$20="SQ", Price_split=100), "No", "Yes")</f>
        <v>No</v>
      </c>
    </row>
    <row r="176" spans="1:14" ht="14">
      <c r="A176" s="402" t="str">
        <f>IF(TBL_008_Qs_Lot_1[[#This Row],[Type]]="Question", K177, IF(TBL_008_Qs_Lot_1[[#This Row],[Sub_No]]="N/A", "", CONCATENATE(TBL_008_Qs_Lot_1[[#This Row],[Q_No]], TBL_008_Qs_Lot_1[[#This Row],[Sub_No]])))</f>
        <v>Q4.3.7</v>
      </c>
      <c r="B176" s="402" t="s">
        <v>398</v>
      </c>
      <c r="C176" s="394"/>
      <c r="D176" s="386"/>
      <c r="E176" s="386"/>
      <c r="F176" s="403"/>
      <c r="G176" s="386" t="str">
        <f>IF(TBL_008_Qs_Lot_1[[#This Row],[Type]]="Question", IF(SQ_Weighted?="Yes", "", "N/A"), "")</f>
        <v/>
      </c>
      <c r="H17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6" s="380" t="str">
        <f t="array" ref="I17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6" s="391" t="s">
        <v>779</v>
      </c>
      <c r="K176" s="386" t="s">
        <v>1081</v>
      </c>
      <c r="L176" s="392" t="s">
        <v>1043</v>
      </c>
      <c r="M176" s="386" t="s">
        <v>958</v>
      </c>
      <c r="N176" s="387" t="str">
        <f>IF(OR('Project Info'!$B$20="SQ", Price_split=100), "No", "Yes")</f>
        <v>No</v>
      </c>
    </row>
    <row r="177" spans="1:14" ht="14">
      <c r="A177" s="402" t="str">
        <f>IF(TBL_008_Qs_Lot_1[[#This Row],[Type]]="Question", K178, IF(TBL_008_Qs_Lot_1[[#This Row],[Sub_No]]="N/A", "", CONCATENATE(TBL_008_Qs_Lot_1[[#This Row],[Q_No]], TBL_008_Qs_Lot_1[[#This Row],[Sub_No]])))</f>
        <v>Q4.3.8</v>
      </c>
      <c r="B177" s="402" t="s">
        <v>398</v>
      </c>
      <c r="C177" s="394"/>
      <c r="D177" s="386"/>
      <c r="E177" s="386"/>
      <c r="F177" s="403"/>
      <c r="G177" s="386" t="str">
        <f>IF(TBL_008_Qs_Lot_1[[#This Row],[Type]]="Question", IF(SQ_Weighted?="Yes", "", "N/A"), "")</f>
        <v/>
      </c>
      <c r="H17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7" s="380" t="str">
        <f t="array" ref="I17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7" s="391" t="s">
        <v>779</v>
      </c>
      <c r="K177" s="386" t="s">
        <v>1081</v>
      </c>
      <c r="L177" s="392" t="s">
        <v>1044</v>
      </c>
      <c r="M177" s="386" t="s">
        <v>958</v>
      </c>
      <c r="N177" s="387" t="str">
        <f>IF(OR('Project Info'!$B$20="SQ", Price_split=100), "No", "Yes")</f>
        <v>No</v>
      </c>
    </row>
    <row r="178" spans="1:14" ht="14">
      <c r="A178" s="402" t="str">
        <f>IF(TBL_008_Qs_Lot_1[[#This Row],[Type]]="Question", K179, IF(TBL_008_Qs_Lot_1[[#This Row],[Sub_No]]="N/A", "", CONCATENATE(TBL_008_Qs_Lot_1[[#This Row],[Q_No]], TBL_008_Qs_Lot_1[[#This Row],[Sub_No]])))</f>
        <v>Q4.3.9</v>
      </c>
      <c r="B178" s="402" t="s">
        <v>398</v>
      </c>
      <c r="C178" s="394"/>
      <c r="D178" s="386"/>
      <c r="E178" s="386"/>
      <c r="F178" s="403"/>
      <c r="G178" s="386" t="str">
        <f>IF(TBL_008_Qs_Lot_1[[#This Row],[Type]]="Question", IF(SQ_Weighted?="Yes", "", "N/A"), "")</f>
        <v/>
      </c>
      <c r="H17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8" s="380" t="str">
        <f t="array" ref="I17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8" s="391" t="s">
        <v>779</v>
      </c>
      <c r="K178" s="386" t="s">
        <v>1081</v>
      </c>
      <c r="L178" s="392" t="s">
        <v>1045</v>
      </c>
      <c r="M178" s="386" t="s">
        <v>958</v>
      </c>
      <c r="N178" s="387" t="str">
        <f>IF(OR('Project Info'!$B$20="SQ", Price_split=100), "No", "Yes")</f>
        <v>No</v>
      </c>
    </row>
    <row r="179" spans="1:14" ht="14">
      <c r="A179" s="402" t="str">
        <f>IF(TBL_008_Qs_Lot_1[[#This Row],[Type]]="Question", K180, IF(TBL_008_Qs_Lot_1[[#This Row],[Sub_No]]="N/A", "", CONCATENATE(TBL_008_Qs_Lot_1[[#This Row],[Q_No]], TBL_008_Qs_Lot_1[[#This Row],[Sub_No]])))</f>
        <v>Q4.3.10</v>
      </c>
      <c r="B179" s="402" t="s">
        <v>398</v>
      </c>
      <c r="C179" s="394"/>
      <c r="D179" s="386"/>
      <c r="E179" s="386"/>
      <c r="F179" s="403"/>
      <c r="G179" s="386" t="str">
        <f>IF(TBL_008_Qs_Lot_1[[#This Row],[Type]]="Question", IF(SQ_Weighted?="Yes", "", "N/A"), "")</f>
        <v/>
      </c>
      <c r="H17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79" s="380" t="str">
        <f t="array" ref="I17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79" s="391" t="s">
        <v>779</v>
      </c>
      <c r="K179" s="386" t="s">
        <v>1081</v>
      </c>
      <c r="L179" s="392" t="s">
        <v>1046</v>
      </c>
      <c r="M179" s="386" t="s">
        <v>958</v>
      </c>
      <c r="N179" s="387" t="str">
        <f>IF(OR('Project Info'!$B$20="SQ", Price_split=100), "No", "Yes")</f>
        <v>No</v>
      </c>
    </row>
    <row r="180" spans="1:14" ht="14">
      <c r="A180" s="378" t="str">
        <f>IF(TBL_008_Qs_Lot_1[[#This Row],[Type]]="Question", K181, IF(TBL_008_Qs_Lot_1[[#This Row],[Sub_No]]="N/A", "", CONCATENATE(TBL_008_Qs_Lot_1[[#This Row],[Q_No]], TBL_008_Qs_Lot_1[[#This Row],[Sub_No]])))</f>
        <v>Q4.4</v>
      </c>
      <c r="B180" s="378" t="s">
        <v>398</v>
      </c>
      <c r="C180" s="398"/>
      <c r="D180" s="401"/>
      <c r="E180" s="401"/>
      <c r="F180" s="382">
        <f>TBL_008_Qs_Lot_1[[#This Row],[No.subs]]*500</f>
        <v>0</v>
      </c>
      <c r="G180" s="380" t="str">
        <f>IF(TBL_008_Qs_Lot_1[[#This Row],[Type]]="Question", IF(Tech_Weighted?="Yes", "", "N/A"), "")</f>
        <v>N/A</v>
      </c>
      <c r="H180"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80" s="380">
        <f t="array" ref="I18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80" s="383" t="s">
        <v>209</v>
      </c>
      <c r="K180" s="386" t="s">
        <v>24</v>
      </c>
      <c r="L180" s="385" t="s">
        <v>24</v>
      </c>
      <c r="M180" s="386" t="s">
        <v>958</v>
      </c>
      <c r="N180" s="387" t="str">
        <f>IF(OR('Project Info'!$B$20="SQ", Price_split=100), "No", "Yes")</f>
        <v>No</v>
      </c>
    </row>
    <row r="181" spans="1:14" ht="14">
      <c r="A181" s="402" t="str">
        <f>IF(TBL_008_Qs_Lot_1[[#This Row],[Type]]="Question", K182, IF(TBL_008_Qs_Lot_1[[#This Row],[Sub_No]]="N/A", "", CONCATENATE(TBL_008_Qs_Lot_1[[#This Row],[Q_No]], TBL_008_Qs_Lot_1[[#This Row],[Sub_No]])))</f>
        <v>Q4.4.1</v>
      </c>
      <c r="B181" s="402" t="s">
        <v>398</v>
      </c>
      <c r="C181" s="394"/>
      <c r="D181" s="386"/>
      <c r="E181" s="386"/>
      <c r="F181" s="403"/>
      <c r="G181" s="386" t="str">
        <f>IF(TBL_008_Qs_Lot_1[[#This Row],[Type]]="Question", IF(SQ_Weighted?="Yes", "", "N/A"), "")</f>
        <v/>
      </c>
      <c r="H18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1" s="380" t="str">
        <f t="array" ref="I18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1" s="391" t="s">
        <v>779</v>
      </c>
      <c r="K181" s="386" t="s">
        <v>1082</v>
      </c>
      <c r="L181" s="392" t="s">
        <v>1037</v>
      </c>
      <c r="M181" s="386" t="s">
        <v>958</v>
      </c>
      <c r="N181" s="387" t="str">
        <f>IF(OR('Project Info'!$B$20="SQ", Price_split=100), "No", "Yes")</f>
        <v>No</v>
      </c>
    </row>
    <row r="182" spans="1:14" ht="14">
      <c r="A182" s="402" t="str">
        <f>IF(TBL_008_Qs_Lot_1[[#This Row],[Type]]="Question", K183, IF(TBL_008_Qs_Lot_1[[#This Row],[Sub_No]]="N/A", "", CONCATENATE(TBL_008_Qs_Lot_1[[#This Row],[Q_No]], TBL_008_Qs_Lot_1[[#This Row],[Sub_No]])))</f>
        <v>Q4.4.2</v>
      </c>
      <c r="B182" s="402" t="s">
        <v>398</v>
      </c>
      <c r="C182" s="394"/>
      <c r="D182" s="386"/>
      <c r="E182" s="386"/>
      <c r="F182" s="403"/>
      <c r="G182" s="386" t="str">
        <f>IF(TBL_008_Qs_Lot_1[[#This Row],[Type]]="Question", IF(SQ_Weighted?="Yes", "", "N/A"), "")</f>
        <v/>
      </c>
      <c r="H18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2" s="380" t="str">
        <f t="array" ref="I18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2" s="391" t="s">
        <v>779</v>
      </c>
      <c r="K182" s="386" t="s">
        <v>1082</v>
      </c>
      <c r="L182" s="392" t="s">
        <v>1041</v>
      </c>
      <c r="M182" s="386" t="s">
        <v>958</v>
      </c>
      <c r="N182" s="387" t="str">
        <f>IF(OR('Project Info'!$B$20="SQ", Price_split=100), "No", "Yes")</f>
        <v>No</v>
      </c>
    </row>
    <row r="183" spans="1:14" ht="14">
      <c r="A183" s="402" t="str">
        <f>IF(TBL_008_Qs_Lot_1[[#This Row],[Type]]="Question", K184, IF(TBL_008_Qs_Lot_1[[#This Row],[Sub_No]]="N/A", "", CONCATENATE(TBL_008_Qs_Lot_1[[#This Row],[Q_No]], TBL_008_Qs_Lot_1[[#This Row],[Sub_No]])))</f>
        <v>Q4.4.3</v>
      </c>
      <c r="B183" s="402" t="s">
        <v>398</v>
      </c>
      <c r="C183" s="394"/>
      <c r="D183" s="386"/>
      <c r="E183" s="386"/>
      <c r="F183" s="403"/>
      <c r="G183" s="386" t="str">
        <f>IF(TBL_008_Qs_Lot_1[[#This Row],[Type]]="Question", IF(SQ_Weighted?="Yes", "", "N/A"), "")</f>
        <v/>
      </c>
      <c r="H18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3" s="380" t="str">
        <f t="array" ref="I18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3" s="391" t="s">
        <v>779</v>
      </c>
      <c r="K183" s="386" t="s">
        <v>1082</v>
      </c>
      <c r="L183" s="392" t="s">
        <v>1038</v>
      </c>
      <c r="M183" s="386" t="s">
        <v>958</v>
      </c>
      <c r="N183" s="387" t="str">
        <f>IF(OR('Project Info'!$B$20="SQ", Price_split=100), "No", "Yes")</f>
        <v>No</v>
      </c>
    </row>
    <row r="184" spans="1:14" ht="14">
      <c r="A184" s="402" t="str">
        <f>IF(TBL_008_Qs_Lot_1[[#This Row],[Type]]="Question", K185, IF(TBL_008_Qs_Lot_1[[#This Row],[Sub_No]]="N/A", "", CONCATENATE(TBL_008_Qs_Lot_1[[#This Row],[Q_No]], TBL_008_Qs_Lot_1[[#This Row],[Sub_No]])))</f>
        <v>Q4.4.4</v>
      </c>
      <c r="B184" s="402" t="s">
        <v>398</v>
      </c>
      <c r="C184" s="394"/>
      <c r="D184" s="386"/>
      <c r="E184" s="386"/>
      <c r="F184" s="403"/>
      <c r="G184" s="386" t="str">
        <f>IF(TBL_008_Qs_Lot_1[[#This Row],[Type]]="Question", IF(SQ_Weighted?="Yes", "", "N/A"), "")</f>
        <v/>
      </c>
      <c r="H18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4" s="380" t="str">
        <f t="array" ref="I18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4" s="391" t="s">
        <v>779</v>
      </c>
      <c r="K184" s="386" t="s">
        <v>1082</v>
      </c>
      <c r="L184" s="392" t="s">
        <v>1039</v>
      </c>
      <c r="M184" s="386" t="s">
        <v>958</v>
      </c>
      <c r="N184" s="387" t="str">
        <f>IF(OR('Project Info'!$B$20="SQ", Price_split=100), "No", "Yes")</f>
        <v>No</v>
      </c>
    </row>
    <row r="185" spans="1:14" ht="14">
      <c r="A185" s="402" t="str">
        <f>IF(TBL_008_Qs_Lot_1[[#This Row],[Type]]="Question", K186, IF(TBL_008_Qs_Lot_1[[#This Row],[Sub_No]]="N/A", "", CONCATENATE(TBL_008_Qs_Lot_1[[#This Row],[Q_No]], TBL_008_Qs_Lot_1[[#This Row],[Sub_No]])))</f>
        <v>Q4.4.5</v>
      </c>
      <c r="B185" s="402" t="s">
        <v>398</v>
      </c>
      <c r="C185" s="394"/>
      <c r="D185" s="386"/>
      <c r="E185" s="386"/>
      <c r="F185" s="403"/>
      <c r="G185" s="386" t="str">
        <f>IF(TBL_008_Qs_Lot_1[[#This Row],[Type]]="Question", IF(SQ_Weighted?="Yes", "", "N/A"), "")</f>
        <v/>
      </c>
      <c r="H18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5" s="380" t="str">
        <f t="array" ref="I18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5" s="391" t="s">
        <v>779</v>
      </c>
      <c r="K185" s="386" t="s">
        <v>1082</v>
      </c>
      <c r="L185" s="392" t="s">
        <v>1040</v>
      </c>
      <c r="M185" s="386" t="s">
        <v>958</v>
      </c>
      <c r="N185" s="387" t="str">
        <f>IF(OR('Project Info'!$B$20="SQ", Price_split=100), "No", "Yes")</f>
        <v>No</v>
      </c>
    </row>
    <row r="186" spans="1:14" ht="14">
      <c r="A186" s="402" t="str">
        <f>IF(TBL_008_Qs_Lot_1[[#This Row],[Type]]="Question", K187, IF(TBL_008_Qs_Lot_1[[#This Row],[Sub_No]]="N/A", "", CONCATENATE(TBL_008_Qs_Lot_1[[#This Row],[Q_No]], TBL_008_Qs_Lot_1[[#This Row],[Sub_No]])))</f>
        <v>Q4.4.6</v>
      </c>
      <c r="B186" s="402" t="s">
        <v>398</v>
      </c>
      <c r="C186" s="394"/>
      <c r="D186" s="386"/>
      <c r="E186" s="386"/>
      <c r="F186" s="403"/>
      <c r="G186" s="386" t="str">
        <f>IF(TBL_008_Qs_Lot_1[[#This Row],[Type]]="Question", IF(SQ_Weighted?="Yes", "", "N/A"), "")</f>
        <v/>
      </c>
      <c r="H18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6" s="380" t="str">
        <f t="array" ref="I18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6" s="391" t="s">
        <v>779</v>
      </c>
      <c r="K186" s="386" t="s">
        <v>1082</v>
      </c>
      <c r="L186" s="392" t="s">
        <v>1042</v>
      </c>
      <c r="M186" s="386" t="s">
        <v>958</v>
      </c>
      <c r="N186" s="387" t="str">
        <f>IF(OR('Project Info'!$B$20="SQ", Price_split=100), "No", "Yes")</f>
        <v>No</v>
      </c>
    </row>
    <row r="187" spans="1:14" ht="14">
      <c r="A187" s="402" t="str">
        <f>IF(TBL_008_Qs_Lot_1[[#This Row],[Type]]="Question", K188, IF(TBL_008_Qs_Lot_1[[#This Row],[Sub_No]]="N/A", "", CONCATENATE(TBL_008_Qs_Lot_1[[#This Row],[Q_No]], TBL_008_Qs_Lot_1[[#This Row],[Sub_No]])))</f>
        <v>Q4.4.7</v>
      </c>
      <c r="B187" s="402" t="s">
        <v>398</v>
      </c>
      <c r="C187" s="394"/>
      <c r="D187" s="386"/>
      <c r="E187" s="386"/>
      <c r="F187" s="403"/>
      <c r="G187" s="386" t="str">
        <f>IF(TBL_008_Qs_Lot_1[[#This Row],[Type]]="Question", IF(SQ_Weighted?="Yes", "", "N/A"), "")</f>
        <v/>
      </c>
      <c r="H18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7" s="380" t="str">
        <f t="array" ref="I18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7" s="391" t="s">
        <v>779</v>
      </c>
      <c r="K187" s="386" t="s">
        <v>1082</v>
      </c>
      <c r="L187" s="392" t="s">
        <v>1043</v>
      </c>
      <c r="M187" s="386" t="s">
        <v>958</v>
      </c>
      <c r="N187" s="387" t="str">
        <f>IF(OR('Project Info'!$B$20="SQ", Price_split=100), "No", "Yes")</f>
        <v>No</v>
      </c>
    </row>
    <row r="188" spans="1:14" ht="14">
      <c r="A188" s="402" t="str">
        <f>IF(TBL_008_Qs_Lot_1[[#This Row],[Type]]="Question", K189, IF(TBL_008_Qs_Lot_1[[#This Row],[Sub_No]]="N/A", "", CONCATENATE(TBL_008_Qs_Lot_1[[#This Row],[Q_No]], TBL_008_Qs_Lot_1[[#This Row],[Sub_No]])))</f>
        <v>Q4.4.8</v>
      </c>
      <c r="B188" s="402" t="s">
        <v>398</v>
      </c>
      <c r="C188" s="394"/>
      <c r="D188" s="386"/>
      <c r="E188" s="386"/>
      <c r="F188" s="403"/>
      <c r="G188" s="386" t="str">
        <f>IF(TBL_008_Qs_Lot_1[[#This Row],[Type]]="Question", IF(SQ_Weighted?="Yes", "", "N/A"), "")</f>
        <v/>
      </c>
      <c r="H18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8" s="380" t="str">
        <f t="array" ref="I18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8" s="391" t="s">
        <v>779</v>
      </c>
      <c r="K188" s="386" t="s">
        <v>1082</v>
      </c>
      <c r="L188" s="392" t="s">
        <v>1044</v>
      </c>
      <c r="M188" s="386" t="s">
        <v>958</v>
      </c>
      <c r="N188" s="387" t="str">
        <f>IF(OR('Project Info'!$B$20="SQ", Price_split=100), "No", "Yes")</f>
        <v>No</v>
      </c>
    </row>
    <row r="189" spans="1:14" ht="14">
      <c r="A189" s="402" t="str">
        <f>IF(TBL_008_Qs_Lot_1[[#This Row],[Type]]="Question", K190, IF(TBL_008_Qs_Lot_1[[#This Row],[Sub_No]]="N/A", "", CONCATENATE(TBL_008_Qs_Lot_1[[#This Row],[Q_No]], TBL_008_Qs_Lot_1[[#This Row],[Sub_No]])))</f>
        <v>Q4.4.9</v>
      </c>
      <c r="B189" s="402" t="s">
        <v>398</v>
      </c>
      <c r="C189" s="394"/>
      <c r="D189" s="386"/>
      <c r="E189" s="386"/>
      <c r="F189" s="403"/>
      <c r="G189" s="386" t="str">
        <f>IF(TBL_008_Qs_Lot_1[[#This Row],[Type]]="Question", IF(SQ_Weighted?="Yes", "", "N/A"), "")</f>
        <v/>
      </c>
      <c r="H18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89" s="380" t="str">
        <f t="array" ref="I18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89" s="391" t="s">
        <v>779</v>
      </c>
      <c r="K189" s="386" t="s">
        <v>1082</v>
      </c>
      <c r="L189" s="392" t="s">
        <v>1045</v>
      </c>
      <c r="M189" s="386" t="s">
        <v>958</v>
      </c>
      <c r="N189" s="387" t="str">
        <f>IF(OR('Project Info'!$B$20="SQ", Price_split=100), "No", "Yes")</f>
        <v>No</v>
      </c>
    </row>
    <row r="190" spans="1:14" ht="14">
      <c r="A190" s="402" t="str">
        <f>IF(TBL_008_Qs_Lot_1[[#This Row],[Type]]="Question", K191, IF(TBL_008_Qs_Lot_1[[#This Row],[Sub_No]]="N/A", "", CONCATENATE(TBL_008_Qs_Lot_1[[#This Row],[Q_No]], TBL_008_Qs_Lot_1[[#This Row],[Sub_No]])))</f>
        <v>Q4.4.10</v>
      </c>
      <c r="B190" s="402" t="s">
        <v>398</v>
      </c>
      <c r="C190" s="394"/>
      <c r="D190" s="386"/>
      <c r="E190" s="386"/>
      <c r="F190" s="403"/>
      <c r="G190" s="386" t="str">
        <f>IF(TBL_008_Qs_Lot_1[[#This Row],[Type]]="Question", IF(SQ_Weighted?="Yes", "", "N/A"), "")</f>
        <v/>
      </c>
      <c r="H19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0" s="380" t="str">
        <f t="array" ref="I19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0" s="391" t="s">
        <v>779</v>
      </c>
      <c r="K190" s="386" t="s">
        <v>1082</v>
      </c>
      <c r="L190" s="392" t="s">
        <v>1046</v>
      </c>
      <c r="M190" s="386" t="s">
        <v>958</v>
      </c>
      <c r="N190" s="387" t="str">
        <f>IF(OR('Project Info'!$B$20="SQ", Price_split=100), "No", "Yes")</f>
        <v>No</v>
      </c>
    </row>
    <row r="191" spans="1:14" ht="14">
      <c r="A191" s="378" t="str">
        <f>IF(TBL_008_Qs_Lot_1[[#This Row],[Type]]="Question", K192, IF(TBL_008_Qs_Lot_1[[#This Row],[Sub_No]]="N/A", "", CONCATENATE(TBL_008_Qs_Lot_1[[#This Row],[Q_No]], TBL_008_Qs_Lot_1[[#This Row],[Sub_No]])))</f>
        <v>Q4.5</v>
      </c>
      <c r="B191" s="378" t="s">
        <v>398</v>
      </c>
      <c r="C191" s="398"/>
      <c r="D191" s="401"/>
      <c r="E191" s="401"/>
      <c r="F191" s="382">
        <f>TBL_008_Qs_Lot_1[[#This Row],[No.subs]]*500</f>
        <v>0</v>
      </c>
      <c r="G191" s="380" t="str">
        <f>IF(TBL_008_Qs_Lot_1[[#This Row],[Type]]="Question", IF(Tech_Weighted?="Yes", "", "N/A"), "")</f>
        <v>N/A</v>
      </c>
      <c r="H191"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191" s="380">
        <f t="array" ref="I19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191" s="383" t="s">
        <v>209</v>
      </c>
      <c r="K191" s="386" t="s">
        <v>24</v>
      </c>
      <c r="L191" s="385" t="s">
        <v>24</v>
      </c>
      <c r="M191" s="386" t="s">
        <v>958</v>
      </c>
      <c r="N191" s="387" t="str">
        <f>IF(OR('Project Info'!$B$20="SQ", Price_split=100), "No", "Yes")</f>
        <v>No</v>
      </c>
    </row>
    <row r="192" spans="1:14" ht="14">
      <c r="A192" s="402" t="str">
        <f>IF(TBL_008_Qs_Lot_1[[#This Row],[Type]]="Question", K193, IF(TBL_008_Qs_Lot_1[[#This Row],[Sub_No]]="N/A", "", CONCATENATE(TBL_008_Qs_Lot_1[[#This Row],[Q_No]], TBL_008_Qs_Lot_1[[#This Row],[Sub_No]])))</f>
        <v>Q4.5.1</v>
      </c>
      <c r="B192" s="402" t="s">
        <v>398</v>
      </c>
      <c r="C192" s="394"/>
      <c r="D192" s="386"/>
      <c r="E192" s="386"/>
      <c r="F192" s="403"/>
      <c r="G192" s="386" t="str">
        <f>IF(TBL_008_Qs_Lot_1[[#This Row],[Type]]="Question", IF(SQ_Weighted?="Yes", "", "N/A"), "")</f>
        <v/>
      </c>
      <c r="H19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2" s="380" t="str">
        <f t="array" ref="I19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2" s="391" t="s">
        <v>779</v>
      </c>
      <c r="K192" s="386" t="s">
        <v>1083</v>
      </c>
      <c r="L192" s="392" t="s">
        <v>1037</v>
      </c>
      <c r="M192" s="386" t="s">
        <v>958</v>
      </c>
      <c r="N192" s="387" t="str">
        <f>IF(OR('Project Info'!$B$20="SQ", Price_split=100), "No", "Yes")</f>
        <v>No</v>
      </c>
    </row>
    <row r="193" spans="1:14" ht="14">
      <c r="A193" s="402" t="str">
        <f>IF(TBL_008_Qs_Lot_1[[#This Row],[Type]]="Question", K194, IF(TBL_008_Qs_Lot_1[[#This Row],[Sub_No]]="N/A", "", CONCATENATE(TBL_008_Qs_Lot_1[[#This Row],[Q_No]], TBL_008_Qs_Lot_1[[#This Row],[Sub_No]])))</f>
        <v>Q4.5.2</v>
      </c>
      <c r="B193" s="402" t="s">
        <v>398</v>
      </c>
      <c r="C193" s="394"/>
      <c r="D193" s="386"/>
      <c r="E193" s="386"/>
      <c r="F193" s="403"/>
      <c r="G193" s="386" t="str">
        <f>IF(TBL_008_Qs_Lot_1[[#This Row],[Type]]="Question", IF(SQ_Weighted?="Yes", "", "N/A"), "")</f>
        <v/>
      </c>
      <c r="H19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3" s="380" t="str">
        <f t="array" ref="I19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3" s="391" t="s">
        <v>779</v>
      </c>
      <c r="K193" s="386" t="s">
        <v>1083</v>
      </c>
      <c r="L193" s="392" t="s">
        <v>1041</v>
      </c>
      <c r="M193" s="386" t="s">
        <v>958</v>
      </c>
      <c r="N193" s="387" t="str">
        <f>IF(OR('Project Info'!$B$20="SQ", Price_split=100), "No", "Yes")</f>
        <v>No</v>
      </c>
    </row>
    <row r="194" spans="1:14" ht="14">
      <c r="A194" s="402" t="str">
        <f>IF(TBL_008_Qs_Lot_1[[#This Row],[Type]]="Question", K195, IF(TBL_008_Qs_Lot_1[[#This Row],[Sub_No]]="N/A", "", CONCATENATE(TBL_008_Qs_Lot_1[[#This Row],[Q_No]], TBL_008_Qs_Lot_1[[#This Row],[Sub_No]])))</f>
        <v>Q4.5.3</v>
      </c>
      <c r="B194" s="402" t="s">
        <v>398</v>
      </c>
      <c r="C194" s="394"/>
      <c r="D194" s="386"/>
      <c r="E194" s="386"/>
      <c r="F194" s="403"/>
      <c r="G194" s="386" t="str">
        <f>IF(TBL_008_Qs_Lot_1[[#This Row],[Type]]="Question", IF(SQ_Weighted?="Yes", "", "N/A"), "")</f>
        <v/>
      </c>
      <c r="H19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4" s="380" t="str">
        <f t="array" ref="I19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4" s="391" t="s">
        <v>779</v>
      </c>
      <c r="K194" s="386" t="s">
        <v>1083</v>
      </c>
      <c r="L194" s="392" t="s">
        <v>1038</v>
      </c>
      <c r="M194" s="386" t="s">
        <v>958</v>
      </c>
      <c r="N194" s="387" t="str">
        <f>IF(OR('Project Info'!$B$20="SQ", Price_split=100), "No", "Yes")</f>
        <v>No</v>
      </c>
    </row>
    <row r="195" spans="1:14" ht="14">
      <c r="A195" s="402" t="str">
        <f>IF(TBL_008_Qs_Lot_1[[#This Row],[Type]]="Question", K196, IF(TBL_008_Qs_Lot_1[[#This Row],[Sub_No]]="N/A", "", CONCATENATE(TBL_008_Qs_Lot_1[[#This Row],[Q_No]], TBL_008_Qs_Lot_1[[#This Row],[Sub_No]])))</f>
        <v>Q4.5.4</v>
      </c>
      <c r="B195" s="402" t="s">
        <v>398</v>
      </c>
      <c r="C195" s="394"/>
      <c r="D195" s="386"/>
      <c r="E195" s="386"/>
      <c r="F195" s="403"/>
      <c r="G195" s="386" t="str">
        <f>IF(TBL_008_Qs_Lot_1[[#This Row],[Type]]="Question", IF(SQ_Weighted?="Yes", "", "N/A"), "")</f>
        <v/>
      </c>
      <c r="H19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5" s="380" t="str">
        <f t="array" ref="I19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5" s="391" t="s">
        <v>779</v>
      </c>
      <c r="K195" s="386" t="s">
        <v>1083</v>
      </c>
      <c r="L195" s="392" t="s">
        <v>1039</v>
      </c>
      <c r="M195" s="386" t="s">
        <v>958</v>
      </c>
      <c r="N195" s="387" t="str">
        <f>IF(OR('Project Info'!$B$20="SQ", Price_split=100), "No", "Yes")</f>
        <v>No</v>
      </c>
    </row>
    <row r="196" spans="1:14" ht="14">
      <c r="A196" s="402" t="str">
        <f>IF(TBL_008_Qs_Lot_1[[#This Row],[Type]]="Question", K197, IF(TBL_008_Qs_Lot_1[[#This Row],[Sub_No]]="N/A", "", CONCATENATE(TBL_008_Qs_Lot_1[[#This Row],[Q_No]], TBL_008_Qs_Lot_1[[#This Row],[Sub_No]])))</f>
        <v>Q4.5.5</v>
      </c>
      <c r="B196" s="402" t="s">
        <v>398</v>
      </c>
      <c r="C196" s="394"/>
      <c r="D196" s="386"/>
      <c r="E196" s="386"/>
      <c r="F196" s="403"/>
      <c r="G196" s="386" t="str">
        <f>IF(TBL_008_Qs_Lot_1[[#This Row],[Type]]="Question", IF(SQ_Weighted?="Yes", "", "N/A"), "")</f>
        <v/>
      </c>
      <c r="H19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6" s="380" t="str">
        <f t="array" ref="I19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6" s="391" t="s">
        <v>779</v>
      </c>
      <c r="K196" s="386" t="s">
        <v>1083</v>
      </c>
      <c r="L196" s="392" t="s">
        <v>1040</v>
      </c>
      <c r="M196" s="386" t="s">
        <v>958</v>
      </c>
      <c r="N196" s="387" t="str">
        <f>IF(OR('Project Info'!$B$20="SQ", Price_split=100), "No", "Yes")</f>
        <v>No</v>
      </c>
    </row>
    <row r="197" spans="1:14" ht="14">
      <c r="A197" s="402" t="str">
        <f>IF(TBL_008_Qs_Lot_1[[#This Row],[Type]]="Question", K198, IF(TBL_008_Qs_Lot_1[[#This Row],[Sub_No]]="N/A", "", CONCATENATE(TBL_008_Qs_Lot_1[[#This Row],[Q_No]], TBL_008_Qs_Lot_1[[#This Row],[Sub_No]])))</f>
        <v>Q4.5.6</v>
      </c>
      <c r="B197" s="402" t="s">
        <v>398</v>
      </c>
      <c r="C197" s="394"/>
      <c r="D197" s="386"/>
      <c r="E197" s="386"/>
      <c r="F197" s="403"/>
      <c r="G197" s="386" t="str">
        <f>IF(TBL_008_Qs_Lot_1[[#This Row],[Type]]="Question", IF(SQ_Weighted?="Yes", "", "N/A"), "")</f>
        <v/>
      </c>
      <c r="H19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7" s="380" t="str">
        <f t="array" ref="I19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7" s="391" t="s">
        <v>779</v>
      </c>
      <c r="K197" s="386" t="s">
        <v>1083</v>
      </c>
      <c r="L197" s="392" t="s">
        <v>1042</v>
      </c>
      <c r="M197" s="386" t="s">
        <v>958</v>
      </c>
      <c r="N197" s="387" t="str">
        <f>IF(OR('Project Info'!$B$20="SQ", Price_split=100), "No", "Yes")</f>
        <v>No</v>
      </c>
    </row>
    <row r="198" spans="1:14" ht="14">
      <c r="A198" s="402" t="str">
        <f>IF(TBL_008_Qs_Lot_1[[#This Row],[Type]]="Question", K199, IF(TBL_008_Qs_Lot_1[[#This Row],[Sub_No]]="N/A", "", CONCATENATE(TBL_008_Qs_Lot_1[[#This Row],[Q_No]], TBL_008_Qs_Lot_1[[#This Row],[Sub_No]])))</f>
        <v>Q4.5.7</v>
      </c>
      <c r="B198" s="402" t="s">
        <v>398</v>
      </c>
      <c r="C198" s="394"/>
      <c r="D198" s="386"/>
      <c r="E198" s="386"/>
      <c r="F198" s="403"/>
      <c r="G198" s="386" t="str">
        <f>IF(TBL_008_Qs_Lot_1[[#This Row],[Type]]="Question", IF(SQ_Weighted?="Yes", "", "N/A"), "")</f>
        <v/>
      </c>
      <c r="H19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8" s="380" t="str">
        <f t="array" ref="I19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8" s="391" t="s">
        <v>779</v>
      </c>
      <c r="K198" s="386" t="s">
        <v>1083</v>
      </c>
      <c r="L198" s="392" t="s">
        <v>1043</v>
      </c>
      <c r="M198" s="386" t="s">
        <v>958</v>
      </c>
      <c r="N198" s="387" t="str">
        <f>IF(OR('Project Info'!$B$20="SQ", Price_split=100), "No", "Yes")</f>
        <v>No</v>
      </c>
    </row>
    <row r="199" spans="1:14" ht="14">
      <c r="A199" s="402" t="str">
        <f>IF(TBL_008_Qs_Lot_1[[#This Row],[Type]]="Question", K200, IF(TBL_008_Qs_Lot_1[[#This Row],[Sub_No]]="N/A", "", CONCATENATE(TBL_008_Qs_Lot_1[[#This Row],[Q_No]], TBL_008_Qs_Lot_1[[#This Row],[Sub_No]])))</f>
        <v>Q4.5.8</v>
      </c>
      <c r="B199" s="402" t="s">
        <v>398</v>
      </c>
      <c r="C199" s="394"/>
      <c r="D199" s="386"/>
      <c r="E199" s="386"/>
      <c r="F199" s="403"/>
      <c r="G199" s="386" t="str">
        <f>IF(TBL_008_Qs_Lot_1[[#This Row],[Type]]="Question", IF(SQ_Weighted?="Yes", "", "N/A"), "")</f>
        <v/>
      </c>
      <c r="H19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199" s="380" t="str">
        <f t="array" ref="I19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199" s="391" t="s">
        <v>779</v>
      </c>
      <c r="K199" s="386" t="s">
        <v>1083</v>
      </c>
      <c r="L199" s="392" t="s">
        <v>1044</v>
      </c>
      <c r="M199" s="386" t="s">
        <v>958</v>
      </c>
      <c r="N199" s="387" t="str">
        <f>IF(OR('Project Info'!$B$20="SQ", Price_split=100), "No", "Yes")</f>
        <v>No</v>
      </c>
    </row>
    <row r="200" spans="1:14" ht="14">
      <c r="A200" s="402" t="str">
        <f>IF(TBL_008_Qs_Lot_1[[#This Row],[Type]]="Question", K201, IF(TBL_008_Qs_Lot_1[[#This Row],[Sub_No]]="N/A", "", CONCATENATE(TBL_008_Qs_Lot_1[[#This Row],[Q_No]], TBL_008_Qs_Lot_1[[#This Row],[Sub_No]])))</f>
        <v>Q4.5.9</v>
      </c>
      <c r="B200" s="402" t="s">
        <v>398</v>
      </c>
      <c r="C200" s="394"/>
      <c r="D200" s="386"/>
      <c r="E200" s="386"/>
      <c r="F200" s="403"/>
      <c r="G200" s="386" t="str">
        <f>IF(TBL_008_Qs_Lot_1[[#This Row],[Type]]="Question", IF(SQ_Weighted?="Yes", "", "N/A"), "")</f>
        <v/>
      </c>
      <c r="H20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0" s="380" t="str">
        <f t="array" ref="I20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0" s="391" t="s">
        <v>779</v>
      </c>
      <c r="K200" s="386" t="s">
        <v>1083</v>
      </c>
      <c r="L200" s="392" t="s">
        <v>1045</v>
      </c>
      <c r="M200" s="386" t="s">
        <v>958</v>
      </c>
      <c r="N200" s="387" t="str">
        <f>IF(OR('Project Info'!$B$20="SQ", Price_split=100), "No", "Yes")</f>
        <v>No</v>
      </c>
    </row>
    <row r="201" spans="1:14" ht="14">
      <c r="A201" s="402" t="str">
        <f>IF(TBL_008_Qs_Lot_1[[#This Row],[Type]]="Question", K202, IF(TBL_008_Qs_Lot_1[[#This Row],[Sub_No]]="N/A", "", CONCATENATE(TBL_008_Qs_Lot_1[[#This Row],[Q_No]], TBL_008_Qs_Lot_1[[#This Row],[Sub_No]])))</f>
        <v>Q4.5.10</v>
      </c>
      <c r="B201" s="402" t="s">
        <v>398</v>
      </c>
      <c r="C201" s="394"/>
      <c r="D201" s="386"/>
      <c r="E201" s="386"/>
      <c r="F201" s="403"/>
      <c r="G201" s="386" t="str">
        <f>IF(TBL_008_Qs_Lot_1[[#This Row],[Type]]="Question", IF(SQ_Weighted?="Yes", "", "N/A"), "")</f>
        <v/>
      </c>
      <c r="H20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1" s="380" t="str">
        <f t="array" ref="I20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1" s="391" t="s">
        <v>779</v>
      </c>
      <c r="K201" s="386" t="s">
        <v>1083</v>
      </c>
      <c r="L201" s="392" t="s">
        <v>1046</v>
      </c>
      <c r="M201" s="386" t="s">
        <v>958</v>
      </c>
      <c r="N201" s="387" t="str">
        <f>IF(OR('Project Info'!$B$20="SQ", Price_split=100), "No", "Yes")</f>
        <v>No</v>
      </c>
    </row>
    <row r="202" spans="1:14" ht="14">
      <c r="A202" s="378" t="str">
        <f>IF(TBL_008_Qs_Lot_1[[#This Row],[Type]]="Question", K203, IF(TBL_008_Qs_Lot_1[[#This Row],[Sub_No]]="N/A", "", CONCATENATE(TBL_008_Qs_Lot_1[[#This Row],[Q_No]], TBL_008_Qs_Lot_1[[#This Row],[Sub_No]])))</f>
        <v>Q4.6</v>
      </c>
      <c r="B202" s="378" t="s">
        <v>398</v>
      </c>
      <c r="C202" s="398"/>
      <c r="D202" s="401"/>
      <c r="E202" s="401"/>
      <c r="F202" s="382">
        <f>TBL_008_Qs_Lot_1[[#This Row],[No.subs]]*500</f>
        <v>0</v>
      </c>
      <c r="G202" s="380" t="str">
        <f>IF(TBL_008_Qs_Lot_1[[#This Row],[Type]]="Question", IF(Tech_Weighted?="Yes", "", "N/A"), "")</f>
        <v>N/A</v>
      </c>
      <c r="H202"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02" s="380">
        <f t="array" ref="I20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02" s="383" t="s">
        <v>209</v>
      </c>
      <c r="K202" s="386" t="s">
        <v>24</v>
      </c>
      <c r="L202" s="385" t="s">
        <v>24</v>
      </c>
      <c r="M202" s="386" t="s">
        <v>958</v>
      </c>
      <c r="N202" s="387" t="str">
        <f>IF(OR('Project Info'!$B$20="SQ", Price_split=100), "No", "Yes")</f>
        <v>No</v>
      </c>
    </row>
    <row r="203" spans="1:14" ht="14">
      <c r="A203" s="402" t="str">
        <f>IF(TBL_008_Qs_Lot_1[[#This Row],[Type]]="Question", K204, IF(TBL_008_Qs_Lot_1[[#This Row],[Sub_No]]="N/A", "", CONCATENATE(TBL_008_Qs_Lot_1[[#This Row],[Q_No]], TBL_008_Qs_Lot_1[[#This Row],[Sub_No]])))</f>
        <v>Q4.6.1</v>
      </c>
      <c r="B203" s="402" t="s">
        <v>398</v>
      </c>
      <c r="C203" s="394"/>
      <c r="D203" s="386"/>
      <c r="E203" s="386"/>
      <c r="F203" s="403"/>
      <c r="G203" s="386" t="str">
        <f>IF(TBL_008_Qs_Lot_1[[#This Row],[Type]]="Question", IF(SQ_Weighted?="Yes", "", "N/A"), "")</f>
        <v/>
      </c>
      <c r="H20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3" s="380" t="str">
        <f t="array" ref="I20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3" s="391" t="s">
        <v>779</v>
      </c>
      <c r="K203" s="386" t="s">
        <v>1084</v>
      </c>
      <c r="L203" s="392" t="s">
        <v>1037</v>
      </c>
      <c r="M203" s="386" t="s">
        <v>958</v>
      </c>
      <c r="N203" s="387" t="str">
        <f>IF(OR('Project Info'!$B$20="SQ", Price_split=100), "No", "Yes")</f>
        <v>No</v>
      </c>
    </row>
    <row r="204" spans="1:14" ht="14">
      <c r="A204" s="402" t="str">
        <f>IF(TBL_008_Qs_Lot_1[[#This Row],[Type]]="Question", K205, IF(TBL_008_Qs_Lot_1[[#This Row],[Sub_No]]="N/A", "", CONCATENATE(TBL_008_Qs_Lot_1[[#This Row],[Q_No]], TBL_008_Qs_Lot_1[[#This Row],[Sub_No]])))</f>
        <v>Q4.6.2</v>
      </c>
      <c r="B204" s="402" t="s">
        <v>398</v>
      </c>
      <c r="C204" s="394"/>
      <c r="D204" s="386"/>
      <c r="E204" s="386"/>
      <c r="F204" s="403"/>
      <c r="G204" s="386" t="str">
        <f>IF(TBL_008_Qs_Lot_1[[#This Row],[Type]]="Question", IF(SQ_Weighted?="Yes", "", "N/A"), "")</f>
        <v/>
      </c>
      <c r="H20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4" s="380" t="str">
        <f t="array" ref="I20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4" s="391" t="s">
        <v>779</v>
      </c>
      <c r="K204" s="386" t="s">
        <v>1084</v>
      </c>
      <c r="L204" s="392" t="s">
        <v>1041</v>
      </c>
      <c r="M204" s="386" t="s">
        <v>958</v>
      </c>
      <c r="N204" s="387" t="str">
        <f>IF(OR('Project Info'!$B$20="SQ", Price_split=100), "No", "Yes")</f>
        <v>No</v>
      </c>
    </row>
    <row r="205" spans="1:14" ht="14">
      <c r="A205" s="402" t="str">
        <f>IF(TBL_008_Qs_Lot_1[[#This Row],[Type]]="Question", K206, IF(TBL_008_Qs_Lot_1[[#This Row],[Sub_No]]="N/A", "", CONCATENATE(TBL_008_Qs_Lot_1[[#This Row],[Q_No]], TBL_008_Qs_Lot_1[[#This Row],[Sub_No]])))</f>
        <v>Q4.6.3</v>
      </c>
      <c r="B205" s="402" t="s">
        <v>398</v>
      </c>
      <c r="C205" s="394"/>
      <c r="D205" s="386"/>
      <c r="E205" s="386"/>
      <c r="F205" s="403"/>
      <c r="G205" s="386" t="str">
        <f>IF(TBL_008_Qs_Lot_1[[#This Row],[Type]]="Question", IF(SQ_Weighted?="Yes", "", "N/A"), "")</f>
        <v/>
      </c>
      <c r="H20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5" s="380" t="str">
        <f t="array" ref="I20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5" s="391" t="s">
        <v>779</v>
      </c>
      <c r="K205" s="386" t="s">
        <v>1084</v>
      </c>
      <c r="L205" s="392" t="s">
        <v>1038</v>
      </c>
      <c r="M205" s="386" t="s">
        <v>958</v>
      </c>
      <c r="N205" s="387" t="str">
        <f>IF(OR('Project Info'!$B$20="SQ", Price_split=100), "No", "Yes")</f>
        <v>No</v>
      </c>
    </row>
    <row r="206" spans="1:14" ht="14">
      <c r="A206" s="402" t="str">
        <f>IF(TBL_008_Qs_Lot_1[[#This Row],[Type]]="Question", K207, IF(TBL_008_Qs_Lot_1[[#This Row],[Sub_No]]="N/A", "", CONCATENATE(TBL_008_Qs_Lot_1[[#This Row],[Q_No]], TBL_008_Qs_Lot_1[[#This Row],[Sub_No]])))</f>
        <v>Q4.6.4</v>
      </c>
      <c r="B206" s="402" t="s">
        <v>398</v>
      </c>
      <c r="C206" s="394"/>
      <c r="D206" s="386"/>
      <c r="E206" s="386"/>
      <c r="F206" s="403"/>
      <c r="G206" s="386" t="str">
        <f>IF(TBL_008_Qs_Lot_1[[#This Row],[Type]]="Question", IF(SQ_Weighted?="Yes", "", "N/A"), "")</f>
        <v/>
      </c>
      <c r="H20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6" s="380" t="str">
        <f t="array" ref="I20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6" s="391" t="s">
        <v>779</v>
      </c>
      <c r="K206" s="386" t="s">
        <v>1084</v>
      </c>
      <c r="L206" s="392" t="s">
        <v>1039</v>
      </c>
      <c r="M206" s="386" t="s">
        <v>958</v>
      </c>
      <c r="N206" s="387" t="str">
        <f>IF(OR('Project Info'!$B$20="SQ", Price_split=100), "No", "Yes")</f>
        <v>No</v>
      </c>
    </row>
    <row r="207" spans="1:14" ht="14">
      <c r="A207" s="402" t="str">
        <f>IF(TBL_008_Qs_Lot_1[[#This Row],[Type]]="Question", K208, IF(TBL_008_Qs_Lot_1[[#This Row],[Sub_No]]="N/A", "", CONCATENATE(TBL_008_Qs_Lot_1[[#This Row],[Q_No]], TBL_008_Qs_Lot_1[[#This Row],[Sub_No]])))</f>
        <v>Q4.6.5</v>
      </c>
      <c r="B207" s="402" t="s">
        <v>398</v>
      </c>
      <c r="C207" s="394"/>
      <c r="D207" s="386"/>
      <c r="E207" s="386"/>
      <c r="F207" s="403"/>
      <c r="G207" s="386" t="str">
        <f>IF(TBL_008_Qs_Lot_1[[#This Row],[Type]]="Question", IF(SQ_Weighted?="Yes", "", "N/A"), "")</f>
        <v/>
      </c>
      <c r="H20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7" s="380" t="str">
        <f t="array" ref="I20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7" s="391" t="s">
        <v>779</v>
      </c>
      <c r="K207" s="386" t="s">
        <v>1084</v>
      </c>
      <c r="L207" s="392" t="s">
        <v>1040</v>
      </c>
      <c r="M207" s="386" t="s">
        <v>958</v>
      </c>
      <c r="N207" s="387" t="str">
        <f>IF(OR('Project Info'!$B$20="SQ", Price_split=100), "No", "Yes")</f>
        <v>No</v>
      </c>
    </row>
    <row r="208" spans="1:14" ht="14">
      <c r="A208" s="402" t="str">
        <f>IF(TBL_008_Qs_Lot_1[[#This Row],[Type]]="Question", K209, IF(TBL_008_Qs_Lot_1[[#This Row],[Sub_No]]="N/A", "", CONCATENATE(TBL_008_Qs_Lot_1[[#This Row],[Q_No]], TBL_008_Qs_Lot_1[[#This Row],[Sub_No]])))</f>
        <v>Q4.6.6</v>
      </c>
      <c r="B208" s="402" t="s">
        <v>398</v>
      </c>
      <c r="C208" s="394"/>
      <c r="D208" s="386"/>
      <c r="E208" s="386"/>
      <c r="F208" s="403"/>
      <c r="G208" s="386" t="str">
        <f>IF(TBL_008_Qs_Lot_1[[#This Row],[Type]]="Question", IF(SQ_Weighted?="Yes", "", "N/A"), "")</f>
        <v/>
      </c>
      <c r="H20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8" s="380" t="str">
        <f t="array" ref="I20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8" s="391" t="s">
        <v>779</v>
      </c>
      <c r="K208" s="386" t="s">
        <v>1084</v>
      </c>
      <c r="L208" s="392" t="s">
        <v>1042</v>
      </c>
      <c r="M208" s="386" t="s">
        <v>958</v>
      </c>
      <c r="N208" s="387" t="str">
        <f>IF(OR('Project Info'!$B$20="SQ", Price_split=100), "No", "Yes")</f>
        <v>No</v>
      </c>
    </row>
    <row r="209" spans="1:14" ht="14">
      <c r="A209" s="402" t="str">
        <f>IF(TBL_008_Qs_Lot_1[[#This Row],[Type]]="Question", K210, IF(TBL_008_Qs_Lot_1[[#This Row],[Sub_No]]="N/A", "", CONCATENATE(TBL_008_Qs_Lot_1[[#This Row],[Q_No]], TBL_008_Qs_Lot_1[[#This Row],[Sub_No]])))</f>
        <v>Q4.6.7</v>
      </c>
      <c r="B209" s="402" t="s">
        <v>398</v>
      </c>
      <c r="C209" s="394"/>
      <c r="D209" s="386"/>
      <c r="E209" s="386"/>
      <c r="F209" s="403"/>
      <c r="G209" s="386" t="str">
        <f>IF(TBL_008_Qs_Lot_1[[#This Row],[Type]]="Question", IF(SQ_Weighted?="Yes", "", "N/A"), "")</f>
        <v/>
      </c>
      <c r="H20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09" s="380" t="str">
        <f t="array" ref="I20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09" s="391" t="s">
        <v>779</v>
      </c>
      <c r="K209" s="386" t="s">
        <v>1084</v>
      </c>
      <c r="L209" s="392" t="s">
        <v>1043</v>
      </c>
      <c r="M209" s="386" t="s">
        <v>958</v>
      </c>
      <c r="N209" s="387" t="str">
        <f>IF(OR('Project Info'!$B$20="SQ", Price_split=100), "No", "Yes")</f>
        <v>No</v>
      </c>
    </row>
    <row r="210" spans="1:14" ht="14">
      <c r="A210" s="402" t="str">
        <f>IF(TBL_008_Qs_Lot_1[[#This Row],[Type]]="Question", K211, IF(TBL_008_Qs_Lot_1[[#This Row],[Sub_No]]="N/A", "", CONCATENATE(TBL_008_Qs_Lot_1[[#This Row],[Q_No]], TBL_008_Qs_Lot_1[[#This Row],[Sub_No]])))</f>
        <v>Q4.6.8</v>
      </c>
      <c r="B210" s="402" t="s">
        <v>398</v>
      </c>
      <c r="C210" s="394"/>
      <c r="D210" s="386"/>
      <c r="E210" s="386"/>
      <c r="F210" s="403"/>
      <c r="G210" s="386" t="str">
        <f>IF(TBL_008_Qs_Lot_1[[#This Row],[Type]]="Question", IF(SQ_Weighted?="Yes", "", "N/A"), "")</f>
        <v/>
      </c>
      <c r="H21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0" s="380" t="str">
        <f t="array" ref="I2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0" s="391" t="s">
        <v>779</v>
      </c>
      <c r="K210" s="386" t="s">
        <v>1084</v>
      </c>
      <c r="L210" s="392" t="s">
        <v>1044</v>
      </c>
      <c r="M210" s="386" t="s">
        <v>958</v>
      </c>
      <c r="N210" s="387" t="str">
        <f>IF(OR('Project Info'!$B$20="SQ", Price_split=100), "No", "Yes")</f>
        <v>No</v>
      </c>
    </row>
    <row r="211" spans="1:14" ht="14">
      <c r="A211" s="402" t="str">
        <f>IF(TBL_008_Qs_Lot_1[[#This Row],[Type]]="Question", K212, IF(TBL_008_Qs_Lot_1[[#This Row],[Sub_No]]="N/A", "", CONCATENATE(TBL_008_Qs_Lot_1[[#This Row],[Q_No]], TBL_008_Qs_Lot_1[[#This Row],[Sub_No]])))</f>
        <v>Q4.6.9</v>
      </c>
      <c r="B211" s="402" t="s">
        <v>398</v>
      </c>
      <c r="C211" s="394"/>
      <c r="D211" s="386"/>
      <c r="E211" s="386"/>
      <c r="F211" s="403"/>
      <c r="G211" s="386" t="str">
        <f>IF(TBL_008_Qs_Lot_1[[#This Row],[Type]]="Question", IF(SQ_Weighted?="Yes", "", "N/A"), "")</f>
        <v/>
      </c>
      <c r="H21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1" s="380" t="str">
        <f t="array" ref="I2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1" s="391" t="s">
        <v>779</v>
      </c>
      <c r="K211" s="386" t="s">
        <v>1084</v>
      </c>
      <c r="L211" s="392" t="s">
        <v>1045</v>
      </c>
      <c r="M211" s="386" t="s">
        <v>958</v>
      </c>
      <c r="N211" s="387" t="str">
        <f>IF(OR('Project Info'!$B$20="SQ", Price_split=100), "No", "Yes")</f>
        <v>No</v>
      </c>
    </row>
    <row r="212" spans="1:14" ht="14">
      <c r="A212" s="402" t="str">
        <f>IF(TBL_008_Qs_Lot_1[[#This Row],[Type]]="Question", K213, IF(TBL_008_Qs_Lot_1[[#This Row],[Sub_No]]="N/A", "", CONCATENATE(TBL_008_Qs_Lot_1[[#This Row],[Q_No]], TBL_008_Qs_Lot_1[[#This Row],[Sub_No]])))</f>
        <v>Q4.6.10</v>
      </c>
      <c r="B212" s="402" t="s">
        <v>398</v>
      </c>
      <c r="C212" s="394"/>
      <c r="D212" s="386"/>
      <c r="E212" s="386"/>
      <c r="F212" s="403"/>
      <c r="G212" s="386" t="str">
        <f>IF(TBL_008_Qs_Lot_1[[#This Row],[Type]]="Question", IF(SQ_Weighted?="Yes", "", "N/A"), "")</f>
        <v/>
      </c>
      <c r="H21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2" s="380" t="str">
        <f t="array" ref="I2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2" s="391" t="s">
        <v>779</v>
      </c>
      <c r="K212" s="386" t="s">
        <v>1084</v>
      </c>
      <c r="L212" s="392" t="s">
        <v>1046</v>
      </c>
      <c r="M212" s="386" t="s">
        <v>958</v>
      </c>
      <c r="N212" s="387" t="str">
        <f>IF(OR('Project Info'!$B$20="SQ", Price_split=100), "No", "Yes")</f>
        <v>No</v>
      </c>
    </row>
    <row r="213" spans="1:14" ht="14">
      <c r="A213" s="378" t="str">
        <f>IF(TBL_008_Qs_Lot_1[[#This Row],[Type]]="Question", K214, IF(TBL_008_Qs_Lot_1[[#This Row],[Sub_No]]="N/A", "", CONCATENATE(TBL_008_Qs_Lot_1[[#This Row],[Q_No]], TBL_008_Qs_Lot_1[[#This Row],[Sub_No]])))</f>
        <v>Q4.7</v>
      </c>
      <c r="B213" s="378" t="s">
        <v>398</v>
      </c>
      <c r="C213" s="398"/>
      <c r="D213" s="401"/>
      <c r="E213" s="401"/>
      <c r="F213" s="382">
        <f>TBL_008_Qs_Lot_1[[#This Row],[No.subs]]*500</f>
        <v>0</v>
      </c>
      <c r="G213" s="380" t="str">
        <f>IF(TBL_008_Qs_Lot_1[[#This Row],[Type]]="Question", IF(Tech_Weighted?="Yes", "", "N/A"), "")</f>
        <v>N/A</v>
      </c>
      <c r="H213"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13" s="380">
        <f t="array" ref="I21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13" s="383" t="s">
        <v>209</v>
      </c>
      <c r="K213" s="386" t="s">
        <v>24</v>
      </c>
      <c r="L213" s="385" t="s">
        <v>24</v>
      </c>
      <c r="M213" s="386" t="s">
        <v>958</v>
      </c>
      <c r="N213" s="387" t="str">
        <f>IF(OR('Project Info'!$B$20="SQ", Price_split=100), "No", "Yes")</f>
        <v>No</v>
      </c>
    </row>
    <row r="214" spans="1:14" ht="14">
      <c r="A214" s="402" t="str">
        <f>IF(TBL_008_Qs_Lot_1[[#This Row],[Type]]="Question", K215, IF(TBL_008_Qs_Lot_1[[#This Row],[Sub_No]]="N/A", "", CONCATENATE(TBL_008_Qs_Lot_1[[#This Row],[Q_No]], TBL_008_Qs_Lot_1[[#This Row],[Sub_No]])))</f>
        <v>Q4.7.1</v>
      </c>
      <c r="B214" s="402" t="s">
        <v>398</v>
      </c>
      <c r="C214" s="394"/>
      <c r="D214" s="386"/>
      <c r="E214" s="386"/>
      <c r="F214" s="403"/>
      <c r="G214" s="386" t="str">
        <f>IF(TBL_008_Qs_Lot_1[[#This Row],[Type]]="Question", IF(SQ_Weighted?="Yes", "", "N/A"), "")</f>
        <v/>
      </c>
      <c r="H21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4" s="380" t="str">
        <f t="array" ref="I21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4" s="391" t="s">
        <v>779</v>
      </c>
      <c r="K214" s="386" t="s">
        <v>1085</v>
      </c>
      <c r="L214" s="392" t="s">
        <v>1037</v>
      </c>
      <c r="M214" s="386" t="s">
        <v>958</v>
      </c>
      <c r="N214" s="387" t="str">
        <f>IF(OR('Project Info'!$B$20="SQ", Price_split=100), "No", "Yes")</f>
        <v>No</v>
      </c>
    </row>
    <row r="215" spans="1:14" ht="14">
      <c r="A215" s="402" t="str">
        <f>IF(TBL_008_Qs_Lot_1[[#This Row],[Type]]="Question", K216, IF(TBL_008_Qs_Lot_1[[#This Row],[Sub_No]]="N/A", "", CONCATENATE(TBL_008_Qs_Lot_1[[#This Row],[Q_No]], TBL_008_Qs_Lot_1[[#This Row],[Sub_No]])))</f>
        <v>Q4.7.2</v>
      </c>
      <c r="B215" s="402" t="s">
        <v>398</v>
      </c>
      <c r="C215" s="394"/>
      <c r="D215" s="386"/>
      <c r="E215" s="386"/>
      <c r="F215" s="403"/>
      <c r="G215" s="386" t="str">
        <f>IF(TBL_008_Qs_Lot_1[[#This Row],[Type]]="Question", IF(SQ_Weighted?="Yes", "", "N/A"), "")</f>
        <v/>
      </c>
      <c r="H21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5" s="380" t="str">
        <f t="array" ref="I21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5" s="391" t="s">
        <v>779</v>
      </c>
      <c r="K215" s="386" t="s">
        <v>1085</v>
      </c>
      <c r="L215" s="392" t="s">
        <v>1041</v>
      </c>
      <c r="M215" s="386" t="s">
        <v>958</v>
      </c>
      <c r="N215" s="387" t="str">
        <f>IF(OR('Project Info'!$B$20="SQ", Price_split=100), "No", "Yes")</f>
        <v>No</v>
      </c>
    </row>
    <row r="216" spans="1:14" ht="14">
      <c r="A216" s="402" t="str">
        <f>IF(TBL_008_Qs_Lot_1[[#This Row],[Type]]="Question", K217, IF(TBL_008_Qs_Lot_1[[#This Row],[Sub_No]]="N/A", "", CONCATENATE(TBL_008_Qs_Lot_1[[#This Row],[Q_No]], TBL_008_Qs_Lot_1[[#This Row],[Sub_No]])))</f>
        <v>Q4.7.3</v>
      </c>
      <c r="B216" s="402" t="s">
        <v>398</v>
      </c>
      <c r="C216" s="394"/>
      <c r="D216" s="386"/>
      <c r="E216" s="386"/>
      <c r="F216" s="403"/>
      <c r="G216" s="386" t="str">
        <f>IF(TBL_008_Qs_Lot_1[[#This Row],[Type]]="Question", IF(SQ_Weighted?="Yes", "", "N/A"), "")</f>
        <v/>
      </c>
      <c r="H21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6" s="380" t="str">
        <f t="array" ref="I21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6" s="391" t="s">
        <v>779</v>
      </c>
      <c r="K216" s="386" t="s">
        <v>1085</v>
      </c>
      <c r="L216" s="392" t="s">
        <v>1038</v>
      </c>
      <c r="M216" s="386" t="s">
        <v>958</v>
      </c>
      <c r="N216" s="387" t="str">
        <f>IF(OR('Project Info'!$B$20="SQ", Price_split=100), "No", "Yes")</f>
        <v>No</v>
      </c>
    </row>
    <row r="217" spans="1:14" ht="14">
      <c r="A217" s="402" t="str">
        <f>IF(TBL_008_Qs_Lot_1[[#This Row],[Type]]="Question", K218, IF(TBL_008_Qs_Lot_1[[#This Row],[Sub_No]]="N/A", "", CONCATENATE(TBL_008_Qs_Lot_1[[#This Row],[Q_No]], TBL_008_Qs_Lot_1[[#This Row],[Sub_No]])))</f>
        <v>Q4.7.4</v>
      </c>
      <c r="B217" s="402" t="s">
        <v>398</v>
      </c>
      <c r="C217" s="394"/>
      <c r="D217" s="386"/>
      <c r="E217" s="386"/>
      <c r="F217" s="403"/>
      <c r="G217" s="386" t="str">
        <f>IF(TBL_008_Qs_Lot_1[[#This Row],[Type]]="Question", IF(SQ_Weighted?="Yes", "", "N/A"), "")</f>
        <v/>
      </c>
      <c r="H21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7" s="380" t="str">
        <f t="array" ref="I21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7" s="391" t="s">
        <v>779</v>
      </c>
      <c r="K217" s="386" t="s">
        <v>1085</v>
      </c>
      <c r="L217" s="392" t="s">
        <v>1039</v>
      </c>
      <c r="M217" s="386" t="s">
        <v>958</v>
      </c>
      <c r="N217" s="387" t="str">
        <f>IF(OR('Project Info'!$B$20="SQ", Price_split=100), "No", "Yes")</f>
        <v>No</v>
      </c>
    </row>
    <row r="218" spans="1:14" ht="14">
      <c r="A218" s="402" t="str">
        <f>IF(TBL_008_Qs_Lot_1[[#This Row],[Type]]="Question", K219, IF(TBL_008_Qs_Lot_1[[#This Row],[Sub_No]]="N/A", "", CONCATENATE(TBL_008_Qs_Lot_1[[#This Row],[Q_No]], TBL_008_Qs_Lot_1[[#This Row],[Sub_No]])))</f>
        <v>Q4.7.5</v>
      </c>
      <c r="B218" s="402" t="s">
        <v>398</v>
      </c>
      <c r="C218" s="394"/>
      <c r="D218" s="386"/>
      <c r="E218" s="386"/>
      <c r="F218" s="403"/>
      <c r="G218" s="386" t="str">
        <f>IF(TBL_008_Qs_Lot_1[[#This Row],[Type]]="Question", IF(SQ_Weighted?="Yes", "", "N/A"), "")</f>
        <v/>
      </c>
      <c r="H21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8" s="380" t="str">
        <f t="array" ref="I21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8" s="391" t="s">
        <v>779</v>
      </c>
      <c r="K218" s="386" t="s">
        <v>1085</v>
      </c>
      <c r="L218" s="392" t="s">
        <v>1040</v>
      </c>
      <c r="M218" s="386" t="s">
        <v>958</v>
      </c>
      <c r="N218" s="387" t="str">
        <f>IF(OR('Project Info'!$B$20="SQ", Price_split=100), "No", "Yes")</f>
        <v>No</v>
      </c>
    </row>
    <row r="219" spans="1:14" ht="14">
      <c r="A219" s="402" t="str">
        <f>IF(TBL_008_Qs_Lot_1[[#This Row],[Type]]="Question", K220, IF(TBL_008_Qs_Lot_1[[#This Row],[Sub_No]]="N/A", "", CONCATENATE(TBL_008_Qs_Lot_1[[#This Row],[Q_No]], TBL_008_Qs_Lot_1[[#This Row],[Sub_No]])))</f>
        <v>Q4.7.6</v>
      </c>
      <c r="B219" s="402" t="s">
        <v>398</v>
      </c>
      <c r="C219" s="394"/>
      <c r="D219" s="386"/>
      <c r="E219" s="386"/>
      <c r="F219" s="403"/>
      <c r="G219" s="386" t="str">
        <f>IF(TBL_008_Qs_Lot_1[[#This Row],[Type]]="Question", IF(SQ_Weighted?="Yes", "", "N/A"), "")</f>
        <v/>
      </c>
      <c r="H21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19" s="380" t="str">
        <f t="array" ref="I21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19" s="391" t="s">
        <v>779</v>
      </c>
      <c r="K219" s="386" t="s">
        <v>1085</v>
      </c>
      <c r="L219" s="392" t="s">
        <v>1042</v>
      </c>
      <c r="M219" s="386" t="s">
        <v>958</v>
      </c>
      <c r="N219" s="387" t="str">
        <f>IF(OR('Project Info'!$B$20="SQ", Price_split=100), "No", "Yes")</f>
        <v>No</v>
      </c>
    </row>
    <row r="220" spans="1:14" ht="14">
      <c r="A220" s="402" t="str">
        <f>IF(TBL_008_Qs_Lot_1[[#This Row],[Type]]="Question", K221, IF(TBL_008_Qs_Lot_1[[#This Row],[Sub_No]]="N/A", "", CONCATENATE(TBL_008_Qs_Lot_1[[#This Row],[Q_No]], TBL_008_Qs_Lot_1[[#This Row],[Sub_No]])))</f>
        <v>Q4.7.7</v>
      </c>
      <c r="B220" s="402" t="s">
        <v>398</v>
      </c>
      <c r="C220" s="394"/>
      <c r="D220" s="386"/>
      <c r="E220" s="386"/>
      <c r="F220" s="403"/>
      <c r="G220" s="386" t="str">
        <f>IF(TBL_008_Qs_Lot_1[[#This Row],[Type]]="Question", IF(SQ_Weighted?="Yes", "", "N/A"), "")</f>
        <v/>
      </c>
      <c r="H22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0" s="380" t="str">
        <f t="array" ref="I22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0" s="391" t="s">
        <v>779</v>
      </c>
      <c r="K220" s="386" t="s">
        <v>1085</v>
      </c>
      <c r="L220" s="392" t="s">
        <v>1043</v>
      </c>
      <c r="M220" s="386" t="s">
        <v>958</v>
      </c>
      <c r="N220" s="387" t="str">
        <f>IF(OR('Project Info'!$B$20="SQ", Price_split=100), "No", "Yes")</f>
        <v>No</v>
      </c>
    </row>
    <row r="221" spans="1:14" ht="14">
      <c r="A221" s="402" t="str">
        <f>IF(TBL_008_Qs_Lot_1[[#This Row],[Type]]="Question", K222, IF(TBL_008_Qs_Lot_1[[#This Row],[Sub_No]]="N/A", "", CONCATENATE(TBL_008_Qs_Lot_1[[#This Row],[Q_No]], TBL_008_Qs_Lot_1[[#This Row],[Sub_No]])))</f>
        <v>Q4.7.8</v>
      </c>
      <c r="B221" s="402" t="s">
        <v>398</v>
      </c>
      <c r="C221" s="394"/>
      <c r="D221" s="386"/>
      <c r="E221" s="386"/>
      <c r="F221" s="403"/>
      <c r="G221" s="386" t="str">
        <f>IF(TBL_008_Qs_Lot_1[[#This Row],[Type]]="Question", IF(SQ_Weighted?="Yes", "", "N/A"), "")</f>
        <v/>
      </c>
      <c r="H22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1" s="380" t="str">
        <f t="array" ref="I22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1" s="391" t="s">
        <v>779</v>
      </c>
      <c r="K221" s="386" t="s">
        <v>1085</v>
      </c>
      <c r="L221" s="392" t="s">
        <v>1044</v>
      </c>
      <c r="M221" s="386" t="s">
        <v>958</v>
      </c>
      <c r="N221" s="387" t="str">
        <f>IF(OR('Project Info'!$B$20="SQ", Price_split=100), "No", "Yes")</f>
        <v>No</v>
      </c>
    </row>
    <row r="222" spans="1:14" ht="14">
      <c r="A222" s="402" t="str">
        <f>IF(TBL_008_Qs_Lot_1[[#This Row],[Type]]="Question", K223, IF(TBL_008_Qs_Lot_1[[#This Row],[Sub_No]]="N/A", "", CONCATENATE(TBL_008_Qs_Lot_1[[#This Row],[Q_No]], TBL_008_Qs_Lot_1[[#This Row],[Sub_No]])))</f>
        <v>Q4.7.9</v>
      </c>
      <c r="B222" s="402" t="s">
        <v>398</v>
      </c>
      <c r="C222" s="394"/>
      <c r="D222" s="386"/>
      <c r="E222" s="386"/>
      <c r="F222" s="403"/>
      <c r="G222" s="386" t="str">
        <f>IF(TBL_008_Qs_Lot_1[[#This Row],[Type]]="Question", IF(SQ_Weighted?="Yes", "", "N/A"), "")</f>
        <v/>
      </c>
      <c r="H22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2" s="380" t="str">
        <f t="array" ref="I22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2" s="391" t="s">
        <v>779</v>
      </c>
      <c r="K222" s="386" t="s">
        <v>1085</v>
      </c>
      <c r="L222" s="392" t="s">
        <v>1045</v>
      </c>
      <c r="M222" s="386" t="s">
        <v>958</v>
      </c>
      <c r="N222" s="387" t="str">
        <f>IF(OR('Project Info'!$B$20="SQ", Price_split=100), "No", "Yes")</f>
        <v>No</v>
      </c>
    </row>
    <row r="223" spans="1:14" ht="14">
      <c r="A223" s="402" t="str">
        <f>IF(TBL_008_Qs_Lot_1[[#This Row],[Type]]="Question", K224, IF(TBL_008_Qs_Lot_1[[#This Row],[Sub_No]]="N/A", "", CONCATENATE(TBL_008_Qs_Lot_1[[#This Row],[Q_No]], TBL_008_Qs_Lot_1[[#This Row],[Sub_No]])))</f>
        <v>Q4.7.10</v>
      </c>
      <c r="B223" s="402" t="s">
        <v>398</v>
      </c>
      <c r="C223" s="394"/>
      <c r="D223" s="386"/>
      <c r="E223" s="386"/>
      <c r="F223" s="403"/>
      <c r="G223" s="386" t="str">
        <f>IF(TBL_008_Qs_Lot_1[[#This Row],[Type]]="Question", IF(SQ_Weighted?="Yes", "", "N/A"), "")</f>
        <v/>
      </c>
      <c r="H22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3" s="380" t="str">
        <f t="array" ref="I22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3" s="391" t="s">
        <v>779</v>
      </c>
      <c r="K223" s="386" t="s">
        <v>1085</v>
      </c>
      <c r="L223" s="392" t="s">
        <v>1046</v>
      </c>
      <c r="M223" s="386" t="s">
        <v>958</v>
      </c>
      <c r="N223" s="387" t="str">
        <f>IF(OR('Project Info'!$B$20="SQ", Price_split=100), "No", "Yes")</f>
        <v>No</v>
      </c>
    </row>
    <row r="224" spans="1:14" ht="14">
      <c r="A224" s="378" t="str">
        <f>IF(TBL_008_Qs_Lot_1[[#This Row],[Type]]="Question", K225, IF(TBL_008_Qs_Lot_1[[#This Row],[Sub_No]]="N/A", "", CONCATENATE(TBL_008_Qs_Lot_1[[#This Row],[Q_No]], TBL_008_Qs_Lot_1[[#This Row],[Sub_No]])))</f>
        <v>Q4.8</v>
      </c>
      <c r="B224" s="378" t="s">
        <v>398</v>
      </c>
      <c r="C224" s="398"/>
      <c r="D224" s="401"/>
      <c r="E224" s="401"/>
      <c r="F224" s="382">
        <f>TBL_008_Qs_Lot_1[[#This Row],[No.subs]]*500</f>
        <v>0</v>
      </c>
      <c r="G224" s="380" t="str">
        <f>IF(TBL_008_Qs_Lot_1[[#This Row],[Type]]="Question", IF(Tech_Weighted?="Yes", "", "N/A"), "")</f>
        <v>N/A</v>
      </c>
      <c r="H224"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24" s="380">
        <f t="array" ref="I22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24" s="383" t="s">
        <v>209</v>
      </c>
      <c r="K224" s="386" t="s">
        <v>24</v>
      </c>
      <c r="L224" s="385" t="s">
        <v>24</v>
      </c>
      <c r="M224" s="386" t="s">
        <v>958</v>
      </c>
      <c r="N224" s="387" t="str">
        <f>IF(OR('Project Info'!$B$20="SQ", Price_split=100), "No", "Yes")</f>
        <v>No</v>
      </c>
    </row>
    <row r="225" spans="1:14" ht="14">
      <c r="A225" s="402" t="str">
        <f>IF(TBL_008_Qs_Lot_1[[#This Row],[Type]]="Question", K226, IF(TBL_008_Qs_Lot_1[[#This Row],[Sub_No]]="N/A", "", CONCATENATE(TBL_008_Qs_Lot_1[[#This Row],[Q_No]], TBL_008_Qs_Lot_1[[#This Row],[Sub_No]])))</f>
        <v>Q4.8.1</v>
      </c>
      <c r="B225" s="402" t="s">
        <v>398</v>
      </c>
      <c r="C225" s="394"/>
      <c r="D225" s="386"/>
      <c r="E225" s="386"/>
      <c r="F225" s="403"/>
      <c r="G225" s="386" t="str">
        <f>IF(TBL_008_Qs_Lot_1[[#This Row],[Type]]="Question", IF(SQ_Weighted?="Yes", "", "N/A"), "")</f>
        <v/>
      </c>
      <c r="H22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5" s="380" t="str">
        <f t="array" ref="I22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5" s="391" t="s">
        <v>779</v>
      </c>
      <c r="K225" s="386" t="s">
        <v>1086</v>
      </c>
      <c r="L225" s="392" t="s">
        <v>1037</v>
      </c>
      <c r="M225" s="386" t="s">
        <v>958</v>
      </c>
      <c r="N225" s="387" t="str">
        <f>IF(OR('Project Info'!$B$20="SQ", Price_split=100), "No", "Yes")</f>
        <v>No</v>
      </c>
    </row>
    <row r="226" spans="1:14" ht="14">
      <c r="A226" s="402" t="str">
        <f>IF(TBL_008_Qs_Lot_1[[#This Row],[Type]]="Question", K227, IF(TBL_008_Qs_Lot_1[[#This Row],[Sub_No]]="N/A", "", CONCATENATE(TBL_008_Qs_Lot_1[[#This Row],[Q_No]], TBL_008_Qs_Lot_1[[#This Row],[Sub_No]])))</f>
        <v>Q4.8.2</v>
      </c>
      <c r="B226" s="402" t="s">
        <v>398</v>
      </c>
      <c r="C226" s="394"/>
      <c r="D226" s="386"/>
      <c r="E226" s="386"/>
      <c r="F226" s="403"/>
      <c r="G226" s="386" t="str">
        <f>IF(TBL_008_Qs_Lot_1[[#This Row],[Type]]="Question", IF(SQ_Weighted?="Yes", "", "N/A"), "")</f>
        <v/>
      </c>
      <c r="H22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6" s="380" t="str">
        <f t="array" ref="I22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6" s="391" t="s">
        <v>779</v>
      </c>
      <c r="K226" s="386" t="s">
        <v>1086</v>
      </c>
      <c r="L226" s="392" t="s">
        <v>1041</v>
      </c>
      <c r="M226" s="386" t="s">
        <v>958</v>
      </c>
      <c r="N226" s="387" t="str">
        <f>IF(OR('Project Info'!$B$20="SQ", Price_split=100), "No", "Yes")</f>
        <v>No</v>
      </c>
    </row>
    <row r="227" spans="1:14" ht="14">
      <c r="A227" s="402" t="str">
        <f>IF(TBL_008_Qs_Lot_1[[#This Row],[Type]]="Question", K228, IF(TBL_008_Qs_Lot_1[[#This Row],[Sub_No]]="N/A", "", CONCATENATE(TBL_008_Qs_Lot_1[[#This Row],[Q_No]], TBL_008_Qs_Lot_1[[#This Row],[Sub_No]])))</f>
        <v>Q4.8.3</v>
      </c>
      <c r="B227" s="402" t="s">
        <v>398</v>
      </c>
      <c r="C227" s="394"/>
      <c r="D227" s="386"/>
      <c r="E227" s="386"/>
      <c r="F227" s="403"/>
      <c r="G227" s="386" t="str">
        <f>IF(TBL_008_Qs_Lot_1[[#This Row],[Type]]="Question", IF(SQ_Weighted?="Yes", "", "N/A"), "")</f>
        <v/>
      </c>
      <c r="H22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7" s="380" t="str">
        <f t="array" ref="I22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7" s="391" t="s">
        <v>779</v>
      </c>
      <c r="K227" s="386" t="s">
        <v>1086</v>
      </c>
      <c r="L227" s="392" t="s">
        <v>1038</v>
      </c>
      <c r="M227" s="386" t="s">
        <v>958</v>
      </c>
      <c r="N227" s="387" t="str">
        <f>IF(OR('Project Info'!$B$20="SQ", Price_split=100), "No", "Yes")</f>
        <v>No</v>
      </c>
    </row>
    <row r="228" spans="1:14" ht="14">
      <c r="A228" s="402" t="str">
        <f>IF(TBL_008_Qs_Lot_1[[#This Row],[Type]]="Question", K229, IF(TBL_008_Qs_Lot_1[[#This Row],[Sub_No]]="N/A", "", CONCATENATE(TBL_008_Qs_Lot_1[[#This Row],[Q_No]], TBL_008_Qs_Lot_1[[#This Row],[Sub_No]])))</f>
        <v>Q4.8.4</v>
      </c>
      <c r="B228" s="402" t="s">
        <v>398</v>
      </c>
      <c r="C228" s="394"/>
      <c r="D228" s="386"/>
      <c r="E228" s="386"/>
      <c r="F228" s="403"/>
      <c r="G228" s="386" t="str">
        <f>IF(TBL_008_Qs_Lot_1[[#This Row],[Type]]="Question", IF(SQ_Weighted?="Yes", "", "N/A"), "")</f>
        <v/>
      </c>
      <c r="H22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8" s="380" t="str">
        <f t="array" ref="I22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8" s="391" t="s">
        <v>779</v>
      </c>
      <c r="K228" s="386" t="s">
        <v>1086</v>
      </c>
      <c r="L228" s="392" t="s">
        <v>1039</v>
      </c>
      <c r="M228" s="386" t="s">
        <v>958</v>
      </c>
      <c r="N228" s="387" t="str">
        <f>IF(OR('Project Info'!$B$20="SQ", Price_split=100), "No", "Yes")</f>
        <v>No</v>
      </c>
    </row>
    <row r="229" spans="1:14" ht="14">
      <c r="A229" s="402" t="str">
        <f>IF(TBL_008_Qs_Lot_1[[#This Row],[Type]]="Question", K230, IF(TBL_008_Qs_Lot_1[[#This Row],[Sub_No]]="N/A", "", CONCATENATE(TBL_008_Qs_Lot_1[[#This Row],[Q_No]], TBL_008_Qs_Lot_1[[#This Row],[Sub_No]])))</f>
        <v>Q4.8.5</v>
      </c>
      <c r="B229" s="402" t="s">
        <v>398</v>
      </c>
      <c r="C229" s="394"/>
      <c r="D229" s="386"/>
      <c r="E229" s="386"/>
      <c r="F229" s="403"/>
      <c r="G229" s="386" t="str">
        <f>IF(TBL_008_Qs_Lot_1[[#This Row],[Type]]="Question", IF(SQ_Weighted?="Yes", "", "N/A"), "")</f>
        <v/>
      </c>
      <c r="H22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29" s="380" t="str">
        <f t="array" ref="I22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29" s="391" t="s">
        <v>779</v>
      </c>
      <c r="K229" s="386" t="s">
        <v>1086</v>
      </c>
      <c r="L229" s="392" t="s">
        <v>1040</v>
      </c>
      <c r="M229" s="386" t="s">
        <v>958</v>
      </c>
      <c r="N229" s="387" t="str">
        <f>IF(OR('Project Info'!$B$20="SQ", Price_split=100), "No", "Yes")</f>
        <v>No</v>
      </c>
    </row>
    <row r="230" spans="1:14" ht="14">
      <c r="A230" s="402" t="str">
        <f>IF(TBL_008_Qs_Lot_1[[#This Row],[Type]]="Question", K231, IF(TBL_008_Qs_Lot_1[[#This Row],[Sub_No]]="N/A", "", CONCATENATE(TBL_008_Qs_Lot_1[[#This Row],[Q_No]], TBL_008_Qs_Lot_1[[#This Row],[Sub_No]])))</f>
        <v>Q4.8.6</v>
      </c>
      <c r="B230" s="402" t="s">
        <v>398</v>
      </c>
      <c r="C230" s="394"/>
      <c r="D230" s="386"/>
      <c r="E230" s="386"/>
      <c r="F230" s="403"/>
      <c r="G230" s="386" t="str">
        <f>IF(TBL_008_Qs_Lot_1[[#This Row],[Type]]="Question", IF(SQ_Weighted?="Yes", "", "N/A"), "")</f>
        <v/>
      </c>
      <c r="H23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0" s="380" t="str">
        <f t="array" ref="I23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0" s="391" t="s">
        <v>779</v>
      </c>
      <c r="K230" s="386" t="s">
        <v>1086</v>
      </c>
      <c r="L230" s="392" t="s">
        <v>1042</v>
      </c>
      <c r="M230" s="386" t="s">
        <v>958</v>
      </c>
      <c r="N230" s="387" t="str">
        <f>IF(OR('Project Info'!$B$20="SQ", Price_split=100), "No", "Yes")</f>
        <v>No</v>
      </c>
    </row>
    <row r="231" spans="1:14" ht="14">
      <c r="A231" s="402" t="str">
        <f>IF(TBL_008_Qs_Lot_1[[#This Row],[Type]]="Question", K232, IF(TBL_008_Qs_Lot_1[[#This Row],[Sub_No]]="N/A", "", CONCATENATE(TBL_008_Qs_Lot_1[[#This Row],[Q_No]], TBL_008_Qs_Lot_1[[#This Row],[Sub_No]])))</f>
        <v>Q4.8.7</v>
      </c>
      <c r="B231" s="402" t="s">
        <v>398</v>
      </c>
      <c r="C231" s="394"/>
      <c r="D231" s="386"/>
      <c r="E231" s="386"/>
      <c r="F231" s="403"/>
      <c r="G231" s="386" t="str">
        <f>IF(TBL_008_Qs_Lot_1[[#This Row],[Type]]="Question", IF(SQ_Weighted?="Yes", "", "N/A"), "")</f>
        <v/>
      </c>
      <c r="H23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1" s="380" t="str">
        <f t="array" ref="I23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1" s="391" t="s">
        <v>779</v>
      </c>
      <c r="K231" s="386" t="s">
        <v>1086</v>
      </c>
      <c r="L231" s="392" t="s">
        <v>1043</v>
      </c>
      <c r="M231" s="386" t="s">
        <v>958</v>
      </c>
      <c r="N231" s="387" t="str">
        <f>IF(OR('Project Info'!$B$20="SQ", Price_split=100), "No", "Yes")</f>
        <v>No</v>
      </c>
    </row>
    <row r="232" spans="1:14" ht="14">
      <c r="A232" s="402" t="str">
        <f>IF(TBL_008_Qs_Lot_1[[#This Row],[Type]]="Question", K233, IF(TBL_008_Qs_Lot_1[[#This Row],[Sub_No]]="N/A", "", CONCATENATE(TBL_008_Qs_Lot_1[[#This Row],[Q_No]], TBL_008_Qs_Lot_1[[#This Row],[Sub_No]])))</f>
        <v>Q4.8.8</v>
      </c>
      <c r="B232" s="402" t="s">
        <v>398</v>
      </c>
      <c r="C232" s="394"/>
      <c r="D232" s="386"/>
      <c r="E232" s="386"/>
      <c r="F232" s="403"/>
      <c r="G232" s="386" t="str">
        <f>IF(TBL_008_Qs_Lot_1[[#This Row],[Type]]="Question", IF(SQ_Weighted?="Yes", "", "N/A"), "")</f>
        <v/>
      </c>
      <c r="H23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2" s="380" t="str">
        <f t="array" ref="I23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2" s="391" t="s">
        <v>779</v>
      </c>
      <c r="K232" s="386" t="s">
        <v>1086</v>
      </c>
      <c r="L232" s="392" t="s">
        <v>1044</v>
      </c>
      <c r="M232" s="386" t="s">
        <v>958</v>
      </c>
      <c r="N232" s="387" t="str">
        <f>IF(OR('Project Info'!$B$20="SQ", Price_split=100), "No", "Yes")</f>
        <v>No</v>
      </c>
    </row>
    <row r="233" spans="1:14" ht="14">
      <c r="A233" s="402" t="str">
        <f>IF(TBL_008_Qs_Lot_1[[#This Row],[Type]]="Question", K234, IF(TBL_008_Qs_Lot_1[[#This Row],[Sub_No]]="N/A", "", CONCATENATE(TBL_008_Qs_Lot_1[[#This Row],[Q_No]], TBL_008_Qs_Lot_1[[#This Row],[Sub_No]])))</f>
        <v>Q4.8.9</v>
      </c>
      <c r="B233" s="402" t="s">
        <v>398</v>
      </c>
      <c r="C233" s="394"/>
      <c r="D233" s="386"/>
      <c r="E233" s="386"/>
      <c r="F233" s="403"/>
      <c r="G233" s="386" t="str">
        <f>IF(TBL_008_Qs_Lot_1[[#This Row],[Type]]="Question", IF(SQ_Weighted?="Yes", "", "N/A"), "")</f>
        <v/>
      </c>
      <c r="H23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3" s="380" t="str">
        <f t="array" ref="I23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3" s="391" t="s">
        <v>779</v>
      </c>
      <c r="K233" s="386" t="s">
        <v>1086</v>
      </c>
      <c r="L233" s="392" t="s">
        <v>1045</v>
      </c>
      <c r="M233" s="386" t="s">
        <v>958</v>
      </c>
      <c r="N233" s="387" t="str">
        <f>IF(OR('Project Info'!$B$20="SQ", Price_split=100), "No", "Yes")</f>
        <v>No</v>
      </c>
    </row>
    <row r="234" spans="1:14" ht="14">
      <c r="A234" s="402" t="str">
        <f>IF(TBL_008_Qs_Lot_1[[#This Row],[Type]]="Question", K235, IF(TBL_008_Qs_Lot_1[[#This Row],[Sub_No]]="N/A", "", CONCATENATE(TBL_008_Qs_Lot_1[[#This Row],[Q_No]], TBL_008_Qs_Lot_1[[#This Row],[Sub_No]])))</f>
        <v>Q4.8.10</v>
      </c>
      <c r="B234" s="402" t="s">
        <v>398</v>
      </c>
      <c r="C234" s="394"/>
      <c r="D234" s="386"/>
      <c r="E234" s="386"/>
      <c r="F234" s="403"/>
      <c r="G234" s="386" t="str">
        <f>IF(TBL_008_Qs_Lot_1[[#This Row],[Type]]="Question", IF(SQ_Weighted?="Yes", "", "N/A"), "")</f>
        <v/>
      </c>
      <c r="H23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4" s="380" t="str">
        <f t="array" ref="I23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4" s="391" t="s">
        <v>779</v>
      </c>
      <c r="K234" s="386" t="s">
        <v>1086</v>
      </c>
      <c r="L234" s="392" t="s">
        <v>1046</v>
      </c>
      <c r="M234" s="386" t="s">
        <v>958</v>
      </c>
      <c r="N234" s="387" t="str">
        <f>IF(OR('Project Info'!$B$20="SQ", Price_split=100), "No", "Yes")</f>
        <v>No</v>
      </c>
    </row>
    <row r="235" spans="1:14" ht="14">
      <c r="A235" s="378" t="str">
        <f>IF(TBL_008_Qs_Lot_1[[#This Row],[Type]]="Question", K236, IF(TBL_008_Qs_Lot_1[[#This Row],[Sub_No]]="N/A", "", CONCATENATE(TBL_008_Qs_Lot_1[[#This Row],[Q_No]], TBL_008_Qs_Lot_1[[#This Row],[Sub_No]])))</f>
        <v>Q4.9</v>
      </c>
      <c r="B235" s="378" t="s">
        <v>398</v>
      </c>
      <c r="C235" s="398"/>
      <c r="D235" s="401"/>
      <c r="E235" s="401"/>
      <c r="F235" s="382">
        <f>TBL_008_Qs_Lot_1[[#This Row],[No.subs]]*500</f>
        <v>0</v>
      </c>
      <c r="G235" s="380" t="str">
        <f>IF(TBL_008_Qs_Lot_1[[#This Row],[Type]]="Question", IF(Tech_Weighted?="Yes", "", "N/A"), "")</f>
        <v>N/A</v>
      </c>
      <c r="H235"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35" s="380">
        <f t="array" ref="I23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35" s="383" t="s">
        <v>209</v>
      </c>
      <c r="K235" s="386" t="s">
        <v>24</v>
      </c>
      <c r="L235" s="385" t="s">
        <v>24</v>
      </c>
      <c r="M235" s="386" t="s">
        <v>958</v>
      </c>
      <c r="N235" s="387" t="str">
        <f>IF(OR('Project Info'!$B$20="SQ", Price_split=100), "No", "Yes")</f>
        <v>No</v>
      </c>
    </row>
    <row r="236" spans="1:14" ht="14">
      <c r="A236" s="402" t="str">
        <f>IF(TBL_008_Qs_Lot_1[[#This Row],[Type]]="Question", K237, IF(TBL_008_Qs_Lot_1[[#This Row],[Sub_No]]="N/A", "", CONCATENATE(TBL_008_Qs_Lot_1[[#This Row],[Q_No]], TBL_008_Qs_Lot_1[[#This Row],[Sub_No]])))</f>
        <v>Q4.9.1</v>
      </c>
      <c r="B236" s="402" t="s">
        <v>398</v>
      </c>
      <c r="C236" s="394"/>
      <c r="D236" s="386"/>
      <c r="E236" s="386"/>
      <c r="F236" s="403"/>
      <c r="G236" s="386" t="str">
        <f>IF(TBL_008_Qs_Lot_1[[#This Row],[Type]]="Question", IF(SQ_Weighted?="Yes", "", "N/A"), "")</f>
        <v/>
      </c>
      <c r="H23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6" s="380" t="str">
        <f t="array" ref="I23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6" s="391" t="s">
        <v>779</v>
      </c>
      <c r="K236" s="386" t="s">
        <v>1087</v>
      </c>
      <c r="L236" s="392" t="s">
        <v>1037</v>
      </c>
      <c r="M236" s="386" t="s">
        <v>958</v>
      </c>
      <c r="N236" s="387" t="str">
        <f>IF(OR('Project Info'!$B$20="SQ", Price_split=100), "No", "Yes")</f>
        <v>No</v>
      </c>
    </row>
    <row r="237" spans="1:14" ht="14">
      <c r="A237" s="402" t="str">
        <f>IF(TBL_008_Qs_Lot_1[[#This Row],[Type]]="Question", K238, IF(TBL_008_Qs_Lot_1[[#This Row],[Sub_No]]="N/A", "", CONCATENATE(TBL_008_Qs_Lot_1[[#This Row],[Q_No]], TBL_008_Qs_Lot_1[[#This Row],[Sub_No]])))</f>
        <v>Q4.9.2</v>
      </c>
      <c r="B237" s="402" t="s">
        <v>398</v>
      </c>
      <c r="C237" s="394"/>
      <c r="D237" s="386"/>
      <c r="E237" s="386"/>
      <c r="F237" s="403"/>
      <c r="G237" s="386" t="str">
        <f>IF(TBL_008_Qs_Lot_1[[#This Row],[Type]]="Question", IF(SQ_Weighted?="Yes", "", "N/A"), "")</f>
        <v/>
      </c>
      <c r="H23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7" s="380" t="str">
        <f t="array" ref="I23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7" s="391" t="s">
        <v>779</v>
      </c>
      <c r="K237" s="386" t="s">
        <v>1087</v>
      </c>
      <c r="L237" s="392" t="s">
        <v>1041</v>
      </c>
      <c r="M237" s="386" t="s">
        <v>958</v>
      </c>
      <c r="N237" s="387" t="str">
        <f>IF(OR('Project Info'!$B$20="SQ", Price_split=100), "No", "Yes")</f>
        <v>No</v>
      </c>
    </row>
    <row r="238" spans="1:14" ht="14">
      <c r="A238" s="402" t="str">
        <f>IF(TBL_008_Qs_Lot_1[[#This Row],[Type]]="Question", K239, IF(TBL_008_Qs_Lot_1[[#This Row],[Sub_No]]="N/A", "", CONCATENATE(TBL_008_Qs_Lot_1[[#This Row],[Q_No]], TBL_008_Qs_Lot_1[[#This Row],[Sub_No]])))</f>
        <v>Q4.9.3</v>
      </c>
      <c r="B238" s="402" t="s">
        <v>398</v>
      </c>
      <c r="C238" s="394"/>
      <c r="D238" s="386"/>
      <c r="E238" s="386"/>
      <c r="F238" s="403"/>
      <c r="G238" s="386" t="str">
        <f>IF(TBL_008_Qs_Lot_1[[#This Row],[Type]]="Question", IF(SQ_Weighted?="Yes", "", "N/A"), "")</f>
        <v/>
      </c>
      <c r="H23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8" s="380" t="str">
        <f t="array" ref="I23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8" s="391" t="s">
        <v>779</v>
      </c>
      <c r="K238" s="386" t="s">
        <v>1087</v>
      </c>
      <c r="L238" s="392" t="s">
        <v>1038</v>
      </c>
      <c r="M238" s="386" t="s">
        <v>958</v>
      </c>
      <c r="N238" s="387" t="str">
        <f>IF(OR('Project Info'!$B$20="SQ", Price_split=100), "No", "Yes")</f>
        <v>No</v>
      </c>
    </row>
    <row r="239" spans="1:14" ht="14">
      <c r="A239" s="402" t="str">
        <f>IF(TBL_008_Qs_Lot_1[[#This Row],[Type]]="Question", K240, IF(TBL_008_Qs_Lot_1[[#This Row],[Sub_No]]="N/A", "", CONCATENATE(TBL_008_Qs_Lot_1[[#This Row],[Q_No]], TBL_008_Qs_Lot_1[[#This Row],[Sub_No]])))</f>
        <v>Q4.9.4</v>
      </c>
      <c r="B239" s="402" t="s">
        <v>398</v>
      </c>
      <c r="C239" s="394"/>
      <c r="D239" s="386"/>
      <c r="E239" s="386"/>
      <c r="F239" s="403"/>
      <c r="G239" s="386" t="str">
        <f>IF(TBL_008_Qs_Lot_1[[#This Row],[Type]]="Question", IF(SQ_Weighted?="Yes", "", "N/A"), "")</f>
        <v/>
      </c>
      <c r="H23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39" s="380" t="str">
        <f t="array" ref="I23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39" s="391" t="s">
        <v>779</v>
      </c>
      <c r="K239" s="386" t="s">
        <v>1087</v>
      </c>
      <c r="L239" s="392" t="s">
        <v>1039</v>
      </c>
      <c r="M239" s="386" t="s">
        <v>958</v>
      </c>
      <c r="N239" s="387" t="str">
        <f>IF(OR('Project Info'!$B$20="SQ", Price_split=100), "No", "Yes")</f>
        <v>No</v>
      </c>
    </row>
    <row r="240" spans="1:14" ht="14">
      <c r="A240" s="402" t="str">
        <f>IF(TBL_008_Qs_Lot_1[[#This Row],[Type]]="Question", K241, IF(TBL_008_Qs_Lot_1[[#This Row],[Sub_No]]="N/A", "", CONCATENATE(TBL_008_Qs_Lot_1[[#This Row],[Q_No]], TBL_008_Qs_Lot_1[[#This Row],[Sub_No]])))</f>
        <v>Q4.9.5</v>
      </c>
      <c r="B240" s="402" t="s">
        <v>398</v>
      </c>
      <c r="C240" s="394"/>
      <c r="D240" s="386"/>
      <c r="E240" s="386"/>
      <c r="F240" s="403"/>
      <c r="G240" s="386" t="str">
        <f>IF(TBL_008_Qs_Lot_1[[#This Row],[Type]]="Question", IF(SQ_Weighted?="Yes", "", "N/A"), "")</f>
        <v/>
      </c>
      <c r="H24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0" s="380" t="str">
        <f t="array" ref="I24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0" s="391" t="s">
        <v>779</v>
      </c>
      <c r="K240" s="386" t="s">
        <v>1087</v>
      </c>
      <c r="L240" s="392" t="s">
        <v>1040</v>
      </c>
      <c r="M240" s="386" t="s">
        <v>958</v>
      </c>
      <c r="N240" s="387" t="str">
        <f>IF(OR('Project Info'!$B$20="SQ", Price_split=100), "No", "Yes")</f>
        <v>No</v>
      </c>
    </row>
    <row r="241" spans="1:14" ht="14">
      <c r="A241" s="402" t="str">
        <f>IF(TBL_008_Qs_Lot_1[[#This Row],[Type]]="Question", K242, IF(TBL_008_Qs_Lot_1[[#This Row],[Sub_No]]="N/A", "", CONCATENATE(TBL_008_Qs_Lot_1[[#This Row],[Q_No]], TBL_008_Qs_Lot_1[[#This Row],[Sub_No]])))</f>
        <v>Q4.9.6</v>
      </c>
      <c r="B241" s="402" t="s">
        <v>398</v>
      </c>
      <c r="C241" s="394"/>
      <c r="D241" s="386"/>
      <c r="E241" s="386"/>
      <c r="F241" s="403"/>
      <c r="G241" s="386" t="str">
        <f>IF(TBL_008_Qs_Lot_1[[#This Row],[Type]]="Question", IF(SQ_Weighted?="Yes", "", "N/A"), "")</f>
        <v/>
      </c>
      <c r="H24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1" s="380" t="str">
        <f t="array" ref="I24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1" s="391" t="s">
        <v>779</v>
      </c>
      <c r="K241" s="386" t="s">
        <v>1087</v>
      </c>
      <c r="L241" s="392" t="s">
        <v>1042</v>
      </c>
      <c r="M241" s="386" t="s">
        <v>958</v>
      </c>
      <c r="N241" s="387" t="str">
        <f>IF(OR('Project Info'!$B$20="SQ", Price_split=100), "No", "Yes")</f>
        <v>No</v>
      </c>
    </row>
    <row r="242" spans="1:14" ht="14">
      <c r="A242" s="402" t="str">
        <f>IF(TBL_008_Qs_Lot_1[[#This Row],[Type]]="Question", K243, IF(TBL_008_Qs_Lot_1[[#This Row],[Sub_No]]="N/A", "", CONCATENATE(TBL_008_Qs_Lot_1[[#This Row],[Q_No]], TBL_008_Qs_Lot_1[[#This Row],[Sub_No]])))</f>
        <v>Q4.9.7</v>
      </c>
      <c r="B242" s="402" t="s">
        <v>398</v>
      </c>
      <c r="C242" s="394"/>
      <c r="D242" s="386"/>
      <c r="E242" s="386"/>
      <c r="F242" s="403"/>
      <c r="G242" s="386" t="str">
        <f>IF(TBL_008_Qs_Lot_1[[#This Row],[Type]]="Question", IF(SQ_Weighted?="Yes", "", "N/A"), "")</f>
        <v/>
      </c>
      <c r="H24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2" s="380" t="str">
        <f t="array" ref="I24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2" s="391" t="s">
        <v>779</v>
      </c>
      <c r="K242" s="386" t="s">
        <v>1087</v>
      </c>
      <c r="L242" s="392" t="s">
        <v>1043</v>
      </c>
      <c r="M242" s="386" t="s">
        <v>958</v>
      </c>
      <c r="N242" s="387" t="str">
        <f>IF(OR('Project Info'!$B$20="SQ", Price_split=100), "No", "Yes")</f>
        <v>No</v>
      </c>
    </row>
    <row r="243" spans="1:14" ht="14">
      <c r="A243" s="402" t="str">
        <f>IF(TBL_008_Qs_Lot_1[[#This Row],[Type]]="Question", K244, IF(TBL_008_Qs_Lot_1[[#This Row],[Sub_No]]="N/A", "", CONCATENATE(TBL_008_Qs_Lot_1[[#This Row],[Q_No]], TBL_008_Qs_Lot_1[[#This Row],[Sub_No]])))</f>
        <v>Q4.9.8</v>
      </c>
      <c r="B243" s="402" t="s">
        <v>398</v>
      </c>
      <c r="C243" s="394"/>
      <c r="D243" s="386"/>
      <c r="E243" s="386"/>
      <c r="F243" s="403"/>
      <c r="G243" s="386" t="str">
        <f>IF(TBL_008_Qs_Lot_1[[#This Row],[Type]]="Question", IF(SQ_Weighted?="Yes", "", "N/A"), "")</f>
        <v/>
      </c>
      <c r="H24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3" s="380" t="str">
        <f t="array" ref="I24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3" s="391" t="s">
        <v>779</v>
      </c>
      <c r="K243" s="386" t="s">
        <v>1087</v>
      </c>
      <c r="L243" s="392" t="s">
        <v>1044</v>
      </c>
      <c r="M243" s="386" t="s">
        <v>958</v>
      </c>
      <c r="N243" s="387" t="str">
        <f>IF(OR('Project Info'!$B$20="SQ", Price_split=100), "No", "Yes")</f>
        <v>No</v>
      </c>
    </row>
    <row r="244" spans="1:14" ht="14">
      <c r="A244" s="402" t="str">
        <f>IF(TBL_008_Qs_Lot_1[[#This Row],[Type]]="Question", K245, IF(TBL_008_Qs_Lot_1[[#This Row],[Sub_No]]="N/A", "", CONCATENATE(TBL_008_Qs_Lot_1[[#This Row],[Q_No]], TBL_008_Qs_Lot_1[[#This Row],[Sub_No]])))</f>
        <v>Q4.9.9</v>
      </c>
      <c r="B244" s="402" t="s">
        <v>398</v>
      </c>
      <c r="C244" s="394"/>
      <c r="D244" s="386"/>
      <c r="E244" s="386"/>
      <c r="F244" s="403"/>
      <c r="G244" s="386" t="str">
        <f>IF(TBL_008_Qs_Lot_1[[#This Row],[Type]]="Question", IF(SQ_Weighted?="Yes", "", "N/A"), "")</f>
        <v/>
      </c>
      <c r="H24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4" s="380" t="str">
        <f t="array" ref="I24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4" s="391" t="s">
        <v>779</v>
      </c>
      <c r="K244" s="386" t="s">
        <v>1087</v>
      </c>
      <c r="L244" s="392" t="s">
        <v>1045</v>
      </c>
      <c r="M244" s="386" t="s">
        <v>958</v>
      </c>
      <c r="N244" s="387" t="str">
        <f>IF(OR('Project Info'!$B$20="SQ", Price_split=100), "No", "Yes")</f>
        <v>No</v>
      </c>
    </row>
    <row r="245" spans="1:14" ht="14">
      <c r="A245" s="402" t="str">
        <f>IF(TBL_008_Qs_Lot_1[[#This Row],[Type]]="Question", K246, IF(TBL_008_Qs_Lot_1[[#This Row],[Sub_No]]="N/A", "", CONCATENATE(TBL_008_Qs_Lot_1[[#This Row],[Q_No]], TBL_008_Qs_Lot_1[[#This Row],[Sub_No]])))</f>
        <v>Q4.9.10</v>
      </c>
      <c r="B245" s="402" t="s">
        <v>398</v>
      </c>
      <c r="C245" s="394"/>
      <c r="D245" s="386"/>
      <c r="E245" s="386"/>
      <c r="F245" s="403"/>
      <c r="G245" s="386" t="str">
        <f>IF(TBL_008_Qs_Lot_1[[#This Row],[Type]]="Question", IF(SQ_Weighted?="Yes", "", "N/A"), "")</f>
        <v/>
      </c>
      <c r="H24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5" s="380" t="str">
        <f t="array" ref="I24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5" s="391" t="s">
        <v>779</v>
      </c>
      <c r="K245" s="386" t="s">
        <v>1087</v>
      </c>
      <c r="L245" s="392" t="s">
        <v>1046</v>
      </c>
      <c r="M245" s="386" t="s">
        <v>958</v>
      </c>
      <c r="N245" s="387" t="str">
        <f>IF(OR('Project Info'!$B$20="SQ", Price_split=100), "No", "Yes")</f>
        <v>No</v>
      </c>
    </row>
    <row r="246" spans="1:14" ht="14">
      <c r="A246" s="378" t="str">
        <f>IF(TBL_008_Qs_Lot_1[[#This Row],[Type]]="Question", K247, IF(TBL_008_Qs_Lot_1[[#This Row],[Sub_No]]="N/A", "", CONCATENATE(TBL_008_Qs_Lot_1[[#This Row],[Q_No]], TBL_008_Qs_Lot_1[[#This Row],[Sub_No]])))</f>
        <v>Q4.10</v>
      </c>
      <c r="B246" s="378" t="s">
        <v>398</v>
      </c>
      <c r="C246" s="398"/>
      <c r="D246" s="401"/>
      <c r="E246" s="401"/>
      <c r="F246" s="382">
        <f>TBL_008_Qs_Lot_1[[#This Row],[No.subs]]*500</f>
        <v>0</v>
      </c>
      <c r="G246" s="380" t="str">
        <f>IF(TBL_008_Qs_Lot_1[[#This Row],[Type]]="Question", IF(Tech_Weighted?="Yes", "", "N/A"), "")</f>
        <v>N/A</v>
      </c>
      <c r="H246"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46" s="380">
        <f t="array" ref="I24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46" s="383" t="s">
        <v>209</v>
      </c>
      <c r="K246" s="386" t="s">
        <v>24</v>
      </c>
      <c r="L246" s="385" t="s">
        <v>24</v>
      </c>
      <c r="M246" s="386" t="s">
        <v>958</v>
      </c>
      <c r="N246" s="387" t="str">
        <f>IF(OR('Project Info'!$B$20="SQ", Price_split=100), "No", "Yes")</f>
        <v>No</v>
      </c>
    </row>
    <row r="247" spans="1:14" ht="14">
      <c r="A247" s="402" t="str">
        <f>IF(TBL_008_Qs_Lot_1[[#This Row],[Type]]="Question", K248, IF(TBL_008_Qs_Lot_1[[#This Row],[Sub_No]]="N/A", "", CONCATENATE(TBL_008_Qs_Lot_1[[#This Row],[Q_No]], TBL_008_Qs_Lot_1[[#This Row],[Sub_No]])))</f>
        <v>Q4.10.1</v>
      </c>
      <c r="B247" s="402" t="s">
        <v>398</v>
      </c>
      <c r="C247" s="394"/>
      <c r="D247" s="386"/>
      <c r="E247" s="386"/>
      <c r="F247" s="403"/>
      <c r="G247" s="386" t="str">
        <f>IF(TBL_008_Qs_Lot_1[[#This Row],[Type]]="Question", IF(SQ_Weighted?="Yes", "", "N/A"), "")</f>
        <v/>
      </c>
      <c r="H24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7" s="380" t="str">
        <f t="array" ref="I24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7" s="391" t="s">
        <v>779</v>
      </c>
      <c r="K247" s="386" t="s">
        <v>1088</v>
      </c>
      <c r="L247" s="392" t="s">
        <v>1037</v>
      </c>
      <c r="M247" s="386" t="s">
        <v>958</v>
      </c>
      <c r="N247" s="387" t="str">
        <f>IF(OR('Project Info'!$B$20="SQ", Price_split=100), "No", "Yes")</f>
        <v>No</v>
      </c>
    </row>
    <row r="248" spans="1:14" ht="14">
      <c r="A248" s="402" t="str">
        <f>IF(TBL_008_Qs_Lot_1[[#This Row],[Type]]="Question", K249, IF(TBL_008_Qs_Lot_1[[#This Row],[Sub_No]]="N/A", "", CONCATENATE(TBL_008_Qs_Lot_1[[#This Row],[Q_No]], TBL_008_Qs_Lot_1[[#This Row],[Sub_No]])))</f>
        <v>Q4.10.2</v>
      </c>
      <c r="B248" s="402" t="s">
        <v>398</v>
      </c>
      <c r="C248" s="394"/>
      <c r="D248" s="386"/>
      <c r="E248" s="386"/>
      <c r="F248" s="403"/>
      <c r="G248" s="386" t="str">
        <f>IF(TBL_008_Qs_Lot_1[[#This Row],[Type]]="Question", IF(SQ_Weighted?="Yes", "", "N/A"), "")</f>
        <v/>
      </c>
      <c r="H24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8" s="380" t="str">
        <f t="array" ref="I24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8" s="391" t="s">
        <v>779</v>
      </c>
      <c r="K248" s="386" t="s">
        <v>1088</v>
      </c>
      <c r="L248" s="392" t="s">
        <v>1041</v>
      </c>
      <c r="M248" s="386" t="s">
        <v>958</v>
      </c>
      <c r="N248" s="387" t="str">
        <f>IF(OR('Project Info'!$B$20="SQ", Price_split=100), "No", "Yes")</f>
        <v>No</v>
      </c>
    </row>
    <row r="249" spans="1:14" ht="14">
      <c r="A249" s="402" t="str">
        <f>IF(TBL_008_Qs_Lot_1[[#This Row],[Type]]="Question", K250, IF(TBL_008_Qs_Lot_1[[#This Row],[Sub_No]]="N/A", "", CONCATENATE(TBL_008_Qs_Lot_1[[#This Row],[Q_No]], TBL_008_Qs_Lot_1[[#This Row],[Sub_No]])))</f>
        <v>Q4.10.3</v>
      </c>
      <c r="B249" s="402" t="s">
        <v>398</v>
      </c>
      <c r="C249" s="394"/>
      <c r="D249" s="386"/>
      <c r="E249" s="386"/>
      <c r="F249" s="403"/>
      <c r="G249" s="386" t="str">
        <f>IF(TBL_008_Qs_Lot_1[[#This Row],[Type]]="Question", IF(SQ_Weighted?="Yes", "", "N/A"), "")</f>
        <v/>
      </c>
      <c r="H24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49" s="380" t="str">
        <f t="array" ref="I24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49" s="391" t="s">
        <v>779</v>
      </c>
      <c r="K249" s="386" t="s">
        <v>1088</v>
      </c>
      <c r="L249" s="392" t="s">
        <v>1038</v>
      </c>
      <c r="M249" s="386" t="s">
        <v>958</v>
      </c>
      <c r="N249" s="387" t="str">
        <f>IF(OR('Project Info'!$B$20="SQ", Price_split=100), "No", "Yes")</f>
        <v>No</v>
      </c>
    </row>
    <row r="250" spans="1:14" ht="14">
      <c r="A250" s="402" t="str">
        <f>IF(TBL_008_Qs_Lot_1[[#This Row],[Type]]="Question", K251, IF(TBL_008_Qs_Lot_1[[#This Row],[Sub_No]]="N/A", "", CONCATENATE(TBL_008_Qs_Lot_1[[#This Row],[Q_No]], TBL_008_Qs_Lot_1[[#This Row],[Sub_No]])))</f>
        <v>Q4.10.4</v>
      </c>
      <c r="B250" s="402" t="s">
        <v>398</v>
      </c>
      <c r="C250" s="394"/>
      <c r="D250" s="386"/>
      <c r="E250" s="386"/>
      <c r="F250" s="403"/>
      <c r="G250" s="386" t="str">
        <f>IF(TBL_008_Qs_Lot_1[[#This Row],[Type]]="Question", IF(SQ_Weighted?="Yes", "", "N/A"), "")</f>
        <v/>
      </c>
      <c r="H25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0" s="380" t="str">
        <f t="array" ref="I25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0" s="391" t="s">
        <v>779</v>
      </c>
      <c r="K250" s="386" t="s">
        <v>1088</v>
      </c>
      <c r="L250" s="392" t="s">
        <v>1039</v>
      </c>
      <c r="M250" s="386" t="s">
        <v>958</v>
      </c>
      <c r="N250" s="387" t="str">
        <f>IF(OR('Project Info'!$B$20="SQ", Price_split=100), "No", "Yes")</f>
        <v>No</v>
      </c>
    </row>
    <row r="251" spans="1:14" ht="14">
      <c r="A251" s="402" t="str">
        <f>IF(TBL_008_Qs_Lot_1[[#This Row],[Type]]="Question", K252, IF(TBL_008_Qs_Lot_1[[#This Row],[Sub_No]]="N/A", "", CONCATENATE(TBL_008_Qs_Lot_1[[#This Row],[Q_No]], TBL_008_Qs_Lot_1[[#This Row],[Sub_No]])))</f>
        <v>Q4.10.5</v>
      </c>
      <c r="B251" s="402" t="s">
        <v>398</v>
      </c>
      <c r="C251" s="394"/>
      <c r="D251" s="386"/>
      <c r="E251" s="386"/>
      <c r="F251" s="403"/>
      <c r="G251" s="386" t="str">
        <f>IF(TBL_008_Qs_Lot_1[[#This Row],[Type]]="Question", IF(SQ_Weighted?="Yes", "", "N/A"), "")</f>
        <v/>
      </c>
      <c r="H25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1" s="380" t="str">
        <f t="array" ref="I25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1" s="391" t="s">
        <v>779</v>
      </c>
      <c r="K251" s="386" t="s">
        <v>1088</v>
      </c>
      <c r="L251" s="392" t="s">
        <v>1040</v>
      </c>
      <c r="M251" s="386" t="s">
        <v>958</v>
      </c>
      <c r="N251" s="387" t="str">
        <f>IF(OR('Project Info'!$B$20="SQ", Price_split=100), "No", "Yes")</f>
        <v>No</v>
      </c>
    </row>
    <row r="252" spans="1:14" ht="14">
      <c r="A252" s="402" t="str">
        <f>IF(TBL_008_Qs_Lot_1[[#This Row],[Type]]="Question", K253, IF(TBL_008_Qs_Lot_1[[#This Row],[Sub_No]]="N/A", "", CONCATENATE(TBL_008_Qs_Lot_1[[#This Row],[Q_No]], TBL_008_Qs_Lot_1[[#This Row],[Sub_No]])))</f>
        <v>Q4.10.6</v>
      </c>
      <c r="B252" s="402" t="s">
        <v>398</v>
      </c>
      <c r="C252" s="394"/>
      <c r="D252" s="386"/>
      <c r="E252" s="386"/>
      <c r="F252" s="403"/>
      <c r="G252" s="386" t="str">
        <f>IF(TBL_008_Qs_Lot_1[[#This Row],[Type]]="Question", IF(SQ_Weighted?="Yes", "", "N/A"), "")</f>
        <v/>
      </c>
      <c r="H25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2" s="380" t="str">
        <f t="array" ref="I25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2" s="391" t="s">
        <v>779</v>
      </c>
      <c r="K252" s="386" t="s">
        <v>1088</v>
      </c>
      <c r="L252" s="392" t="s">
        <v>1042</v>
      </c>
      <c r="M252" s="386" t="s">
        <v>958</v>
      </c>
      <c r="N252" s="387" t="str">
        <f>IF(OR('Project Info'!$B$20="SQ", Price_split=100), "No", "Yes")</f>
        <v>No</v>
      </c>
    </row>
    <row r="253" spans="1:14" ht="14">
      <c r="A253" s="402" t="str">
        <f>IF(TBL_008_Qs_Lot_1[[#This Row],[Type]]="Question", K254, IF(TBL_008_Qs_Lot_1[[#This Row],[Sub_No]]="N/A", "", CONCATENATE(TBL_008_Qs_Lot_1[[#This Row],[Q_No]], TBL_008_Qs_Lot_1[[#This Row],[Sub_No]])))</f>
        <v>Q4.10.7</v>
      </c>
      <c r="B253" s="402" t="s">
        <v>398</v>
      </c>
      <c r="C253" s="394"/>
      <c r="D253" s="386"/>
      <c r="E253" s="386"/>
      <c r="F253" s="403"/>
      <c r="G253" s="386" t="str">
        <f>IF(TBL_008_Qs_Lot_1[[#This Row],[Type]]="Question", IF(SQ_Weighted?="Yes", "", "N/A"), "")</f>
        <v/>
      </c>
      <c r="H25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3" s="380" t="str">
        <f t="array" ref="I25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3" s="391" t="s">
        <v>779</v>
      </c>
      <c r="K253" s="386" t="s">
        <v>1088</v>
      </c>
      <c r="L253" s="392" t="s">
        <v>1043</v>
      </c>
      <c r="M253" s="386" t="s">
        <v>958</v>
      </c>
      <c r="N253" s="387" t="str">
        <f>IF(OR('Project Info'!$B$20="SQ", Price_split=100), "No", "Yes")</f>
        <v>No</v>
      </c>
    </row>
    <row r="254" spans="1:14" ht="14">
      <c r="A254" s="402" t="str">
        <f>IF(TBL_008_Qs_Lot_1[[#This Row],[Type]]="Question", K255, IF(TBL_008_Qs_Lot_1[[#This Row],[Sub_No]]="N/A", "", CONCATENATE(TBL_008_Qs_Lot_1[[#This Row],[Q_No]], TBL_008_Qs_Lot_1[[#This Row],[Sub_No]])))</f>
        <v>Q4.10.8</v>
      </c>
      <c r="B254" s="402" t="s">
        <v>398</v>
      </c>
      <c r="C254" s="394"/>
      <c r="D254" s="386"/>
      <c r="E254" s="386"/>
      <c r="F254" s="403"/>
      <c r="G254" s="386" t="str">
        <f>IF(TBL_008_Qs_Lot_1[[#This Row],[Type]]="Question", IF(SQ_Weighted?="Yes", "", "N/A"), "")</f>
        <v/>
      </c>
      <c r="H25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4" s="380" t="str">
        <f t="array" ref="I25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4" s="391" t="s">
        <v>779</v>
      </c>
      <c r="K254" s="386" t="s">
        <v>1088</v>
      </c>
      <c r="L254" s="392" t="s">
        <v>1044</v>
      </c>
      <c r="M254" s="386" t="s">
        <v>958</v>
      </c>
      <c r="N254" s="387" t="str">
        <f>IF(OR('Project Info'!$B$20="SQ", Price_split=100), "No", "Yes")</f>
        <v>No</v>
      </c>
    </row>
    <row r="255" spans="1:14" ht="14">
      <c r="A255" s="402" t="str">
        <f>IF(TBL_008_Qs_Lot_1[[#This Row],[Type]]="Question", K256, IF(TBL_008_Qs_Lot_1[[#This Row],[Sub_No]]="N/A", "", CONCATENATE(TBL_008_Qs_Lot_1[[#This Row],[Q_No]], TBL_008_Qs_Lot_1[[#This Row],[Sub_No]])))</f>
        <v>Q4.10.9</v>
      </c>
      <c r="B255" s="402" t="s">
        <v>398</v>
      </c>
      <c r="C255" s="394"/>
      <c r="D255" s="386"/>
      <c r="E255" s="386"/>
      <c r="F255" s="403"/>
      <c r="G255" s="386" t="str">
        <f>IF(TBL_008_Qs_Lot_1[[#This Row],[Type]]="Question", IF(SQ_Weighted?="Yes", "", "N/A"), "")</f>
        <v/>
      </c>
      <c r="H25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5" s="380" t="str">
        <f t="array" ref="I25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5" s="391" t="s">
        <v>779</v>
      </c>
      <c r="K255" s="386" t="s">
        <v>1088</v>
      </c>
      <c r="L255" s="392" t="s">
        <v>1045</v>
      </c>
      <c r="M255" s="386" t="s">
        <v>958</v>
      </c>
      <c r="N255" s="387" t="str">
        <f>IF(OR('Project Info'!$B$20="SQ", Price_split=100), "No", "Yes")</f>
        <v>No</v>
      </c>
    </row>
    <row r="256" spans="1:14" ht="14">
      <c r="A256" s="402" t="str">
        <f>IF(TBL_008_Qs_Lot_1[[#This Row],[Type]]="Question", K257, IF(TBL_008_Qs_Lot_1[[#This Row],[Sub_No]]="N/A", "", CONCATENATE(TBL_008_Qs_Lot_1[[#This Row],[Q_No]], TBL_008_Qs_Lot_1[[#This Row],[Sub_No]])))</f>
        <v>Q4.10.10</v>
      </c>
      <c r="B256" s="402" t="s">
        <v>398</v>
      </c>
      <c r="C256" s="394"/>
      <c r="D256" s="386"/>
      <c r="E256" s="386"/>
      <c r="F256" s="403"/>
      <c r="G256" s="386" t="str">
        <f>IF(TBL_008_Qs_Lot_1[[#This Row],[Type]]="Question", IF(SQ_Weighted?="Yes", "", "N/A"), "")</f>
        <v/>
      </c>
      <c r="H25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6" s="380" t="str">
        <f t="array" ref="I25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6" s="391" t="s">
        <v>779</v>
      </c>
      <c r="K256" s="386" t="s">
        <v>1088</v>
      </c>
      <c r="L256" s="392" t="s">
        <v>1046</v>
      </c>
      <c r="M256" s="386" t="s">
        <v>958</v>
      </c>
      <c r="N256" s="387" t="str">
        <f>IF(OR('Project Info'!$B$20="SQ", Price_split=100), "No", "Yes")</f>
        <v>No</v>
      </c>
    </row>
    <row r="257" spans="1:14" ht="17">
      <c r="A257" s="376" t="str">
        <f>IF(TBL_008_Qs_Lot_1[[#This Row],[Type]]="Question", K258, IF(TBL_008_Qs_Lot_1[[#This Row],[Sub_No]]="N/A", "", CONCATENATE(TBL_008_Qs_Lot_1[[#This Row],[Q_No]], TBL_008_Qs_Lot_1[[#This Row],[Sub_No]])))</f>
        <v/>
      </c>
      <c r="B257" s="376" t="str">
        <f t="array" ref="B257">IF(TBL_008_Qs_Lot_1[[#This Row],[Required?]]="Yes", CONCATENATE("Part 5 - ", Int_or_SV, " questions", IF(Lotted?="No", "", CONCATENATE(" for ", IF(AND(Doc_Lot="All", SQ_Same_Qs?="Yes"),"all Lots", INDEX(TBL_003_DocMerge[Lot_Ref], MATCH(1, (Doc_Lot=TBL_003_DocMerge[Lot])*(Job_No=TBL_003_DocMerge[Job_No]),0)))))), "Section not used")</f>
        <v>Section not used</v>
      </c>
      <c r="C257" s="373"/>
      <c r="D257" s="374"/>
      <c r="E257" s="374"/>
      <c r="F257" s="375"/>
      <c r="G257" s="375">
        <f>COUNTIFS(TBL_008_Qs_Lot_1[Type],"Question", TBL_008_Qs_Lot_1[Section], Int_or_SV)-COUNTIFS(TBL_008_Qs_Lot_1[Question / Sub-question], "Not used", TBL_008_Qs_Lot_1[Type], "Question", TBL_008_Qs_Lot_1[Section], Int_or_SV)</f>
        <v>0</v>
      </c>
      <c r="H257" s="374">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57" s="380" t="str">
        <f t="array" ref="I25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7" s="376" t="s">
        <v>778</v>
      </c>
      <c r="K257" s="374" t="s">
        <v>786</v>
      </c>
      <c r="L257" s="374" t="s">
        <v>24</v>
      </c>
      <c r="M257" s="374" t="str">
        <f>IF(TBL_008_Qs_Lot_1[[#This Row],[Required?]]="No", "N/A", Int_or_SV)</f>
        <v>N/A</v>
      </c>
      <c r="N257" s="377" t="str">
        <f>IF(OR('Project Info'!$B$20="SQ", Price_split=100), "No", IF(Int_or_SV="Not applicable", "No", "Yes"))</f>
        <v>No</v>
      </c>
    </row>
    <row r="258" spans="1:14" ht="14">
      <c r="A258" s="378" t="str">
        <f>IF(TBL_008_Qs_Lot_1[[#This Row],[Type]]="Question", K259, IF(TBL_008_Qs_Lot_1[[#This Row],[Sub_No]]="N/A", "", CONCATENATE(TBL_008_Qs_Lot_1[[#This Row],[Q_No]], TBL_008_Qs_Lot_1[[#This Row],[Sub_No]])))</f>
        <v>Q5.1</v>
      </c>
      <c r="B258" s="378" t="s">
        <v>398</v>
      </c>
      <c r="C258" s="398"/>
      <c r="D258" s="401" t="s">
        <v>24</v>
      </c>
      <c r="E258" s="401" t="s">
        <v>24</v>
      </c>
      <c r="F258" s="382" t="s">
        <v>24</v>
      </c>
      <c r="G258" s="380" t="str">
        <f>IF(TBL_008_Qs_Lot_1[[#This Row],[Type]]="Question", IF(IntSV_Weighted?="Yes", "", "N/A"), "")</f>
        <v>N/A</v>
      </c>
      <c r="H258"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58" s="380">
        <f t="array" ref="I25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58" s="383" t="s">
        <v>209</v>
      </c>
      <c r="K258" s="386" t="s">
        <v>24</v>
      </c>
      <c r="L258" s="385" t="s">
        <v>24</v>
      </c>
      <c r="M258" s="386" t="str">
        <f>IF(TBL_008_Qs_Lot_1[[#This Row],[Required?]]="No", "N/A", Int_or_SV)</f>
        <v>N/A</v>
      </c>
      <c r="N258" s="387" t="str">
        <f>IF(OR('Project Info'!$B$20="SQ", Price_split=100), "No", IF(Int_or_SV="Not applicable", "No", "Yes"))</f>
        <v>No</v>
      </c>
    </row>
    <row r="259" spans="1:14" ht="14">
      <c r="A259" s="402" t="str">
        <f>IF(TBL_008_Qs_Lot_1[[#This Row],[Type]]="Question", K260, IF(TBL_008_Qs_Lot_1[[#This Row],[Sub_No]]="N/A", "", CONCATENATE(TBL_008_Qs_Lot_1[[#This Row],[Q_No]], TBL_008_Qs_Lot_1[[#This Row],[Sub_No]])))</f>
        <v>Q5.1.1</v>
      </c>
      <c r="B259" s="402" t="s">
        <v>398</v>
      </c>
      <c r="C259" s="394"/>
      <c r="D259" s="386"/>
      <c r="E259" s="386"/>
      <c r="F259" s="403"/>
      <c r="G259" s="386" t="str">
        <f>IF(TBL_008_Qs_Lot_1[[#This Row],[Type]]="Question", IF(SQ_Weighted?="Yes", "", "N/A"), "")</f>
        <v/>
      </c>
      <c r="H25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59" s="380" t="str">
        <f t="array" ref="I25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59" s="391" t="s">
        <v>779</v>
      </c>
      <c r="K259" s="386" t="s">
        <v>1089</v>
      </c>
      <c r="L259" s="392" t="s">
        <v>1037</v>
      </c>
      <c r="M259" s="386" t="str">
        <f>IF(TBL_008_Qs_Lot_1[[#This Row],[Required?]]="No", "N/A", Int_or_SV)</f>
        <v>N/A</v>
      </c>
      <c r="N259" s="387" t="str">
        <f>IF(OR('Project Info'!$B$20="SQ", Price_split=100), "No", IF(Int_or_SV="Not applicable", "No", "Yes"))</f>
        <v>No</v>
      </c>
    </row>
    <row r="260" spans="1:14" ht="14">
      <c r="A260" s="402" t="str">
        <f>IF(TBL_008_Qs_Lot_1[[#This Row],[Type]]="Question", K261, IF(TBL_008_Qs_Lot_1[[#This Row],[Sub_No]]="N/A", "", CONCATENATE(TBL_008_Qs_Lot_1[[#This Row],[Q_No]], TBL_008_Qs_Lot_1[[#This Row],[Sub_No]])))</f>
        <v>Q5.1.2</v>
      </c>
      <c r="B260" s="402" t="s">
        <v>398</v>
      </c>
      <c r="C260" s="394"/>
      <c r="D260" s="386"/>
      <c r="E260" s="386"/>
      <c r="F260" s="403"/>
      <c r="G260" s="386" t="str">
        <f>IF(TBL_008_Qs_Lot_1[[#This Row],[Type]]="Question", IF(SQ_Weighted?="Yes", "", "N/A"), "")</f>
        <v/>
      </c>
      <c r="H26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0" s="380" t="str">
        <f t="array" ref="I26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0" s="391" t="s">
        <v>779</v>
      </c>
      <c r="K260" s="386" t="s">
        <v>1089</v>
      </c>
      <c r="L260" s="392" t="s">
        <v>1041</v>
      </c>
      <c r="M260" s="386" t="str">
        <f>IF(TBL_008_Qs_Lot_1[[#This Row],[Required?]]="No", "N/A", Int_or_SV)</f>
        <v>N/A</v>
      </c>
      <c r="N260" s="387" t="str">
        <f>IF(OR('Project Info'!$B$20="SQ", Price_split=100), "No", IF(Int_or_SV="Not applicable", "No", "Yes"))</f>
        <v>No</v>
      </c>
    </row>
    <row r="261" spans="1:14" ht="14">
      <c r="A261" s="402" t="str">
        <f>IF(TBL_008_Qs_Lot_1[[#This Row],[Type]]="Question", K262, IF(TBL_008_Qs_Lot_1[[#This Row],[Sub_No]]="N/A", "", CONCATENATE(TBL_008_Qs_Lot_1[[#This Row],[Q_No]], TBL_008_Qs_Lot_1[[#This Row],[Sub_No]])))</f>
        <v>Q5.1.3</v>
      </c>
      <c r="B261" s="402" t="s">
        <v>398</v>
      </c>
      <c r="C261" s="394"/>
      <c r="D261" s="386"/>
      <c r="E261" s="386"/>
      <c r="F261" s="403"/>
      <c r="G261" s="386" t="str">
        <f>IF(TBL_008_Qs_Lot_1[[#This Row],[Type]]="Question", IF(SQ_Weighted?="Yes", "", "N/A"), "")</f>
        <v/>
      </c>
      <c r="H26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1" s="380" t="str">
        <f t="array" ref="I26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1" s="391" t="s">
        <v>779</v>
      </c>
      <c r="K261" s="386" t="s">
        <v>1089</v>
      </c>
      <c r="L261" s="392" t="s">
        <v>1038</v>
      </c>
      <c r="M261" s="386" t="str">
        <f>IF(TBL_008_Qs_Lot_1[[#This Row],[Required?]]="No", "N/A", Int_or_SV)</f>
        <v>N/A</v>
      </c>
      <c r="N261" s="387" t="str">
        <f>IF(OR('Project Info'!$B$20="SQ", Price_split=100), "No", IF(Int_or_SV="Not applicable", "No", "Yes"))</f>
        <v>No</v>
      </c>
    </row>
    <row r="262" spans="1:14" ht="14">
      <c r="A262" s="402" t="str">
        <f>IF(TBL_008_Qs_Lot_1[[#This Row],[Type]]="Question", K263, IF(TBL_008_Qs_Lot_1[[#This Row],[Sub_No]]="N/A", "", CONCATENATE(TBL_008_Qs_Lot_1[[#This Row],[Q_No]], TBL_008_Qs_Lot_1[[#This Row],[Sub_No]])))</f>
        <v>Q5.1.4</v>
      </c>
      <c r="B262" s="402" t="s">
        <v>398</v>
      </c>
      <c r="C262" s="394"/>
      <c r="D262" s="386"/>
      <c r="E262" s="386"/>
      <c r="F262" s="403"/>
      <c r="G262" s="386" t="str">
        <f>IF(TBL_008_Qs_Lot_1[[#This Row],[Type]]="Question", IF(SQ_Weighted?="Yes", "", "N/A"), "")</f>
        <v/>
      </c>
      <c r="H26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2" s="380" t="str">
        <f t="array" ref="I26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2" s="391" t="s">
        <v>779</v>
      </c>
      <c r="K262" s="386" t="s">
        <v>1089</v>
      </c>
      <c r="L262" s="392" t="s">
        <v>1039</v>
      </c>
      <c r="M262" s="386" t="str">
        <f>IF(TBL_008_Qs_Lot_1[[#This Row],[Required?]]="No", "N/A", Int_or_SV)</f>
        <v>N/A</v>
      </c>
      <c r="N262" s="387" t="str">
        <f>IF(OR('Project Info'!$B$20="SQ", Price_split=100), "No", IF(Int_or_SV="Not applicable", "No", "Yes"))</f>
        <v>No</v>
      </c>
    </row>
    <row r="263" spans="1:14" ht="14">
      <c r="A263" s="402" t="str">
        <f>IF(TBL_008_Qs_Lot_1[[#This Row],[Type]]="Question", K264, IF(TBL_008_Qs_Lot_1[[#This Row],[Sub_No]]="N/A", "", CONCATENATE(TBL_008_Qs_Lot_1[[#This Row],[Q_No]], TBL_008_Qs_Lot_1[[#This Row],[Sub_No]])))</f>
        <v>Q5.1.5</v>
      </c>
      <c r="B263" s="402" t="s">
        <v>398</v>
      </c>
      <c r="C263" s="394"/>
      <c r="D263" s="386"/>
      <c r="E263" s="386"/>
      <c r="F263" s="403"/>
      <c r="G263" s="386" t="str">
        <f>IF(TBL_008_Qs_Lot_1[[#This Row],[Type]]="Question", IF(SQ_Weighted?="Yes", "", "N/A"), "")</f>
        <v/>
      </c>
      <c r="H26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3" s="380" t="str">
        <f t="array" ref="I26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3" s="391" t="s">
        <v>779</v>
      </c>
      <c r="K263" s="386" t="s">
        <v>1089</v>
      </c>
      <c r="L263" s="392" t="s">
        <v>1040</v>
      </c>
      <c r="M263" s="386" t="str">
        <f>IF(TBL_008_Qs_Lot_1[[#This Row],[Required?]]="No", "N/A", Int_or_SV)</f>
        <v>N/A</v>
      </c>
      <c r="N263" s="387" t="str">
        <f>IF(OR('Project Info'!$B$20="SQ", Price_split=100), "No", IF(Int_or_SV="Not applicable", "No", "Yes"))</f>
        <v>No</v>
      </c>
    </row>
    <row r="264" spans="1:14" ht="14">
      <c r="A264" s="402" t="str">
        <f>IF(TBL_008_Qs_Lot_1[[#This Row],[Type]]="Question", K265, IF(TBL_008_Qs_Lot_1[[#This Row],[Sub_No]]="N/A", "", CONCATENATE(TBL_008_Qs_Lot_1[[#This Row],[Q_No]], TBL_008_Qs_Lot_1[[#This Row],[Sub_No]])))</f>
        <v>Q5.1.6</v>
      </c>
      <c r="B264" s="402" t="s">
        <v>398</v>
      </c>
      <c r="C264" s="394"/>
      <c r="D264" s="386"/>
      <c r="E264" s="386"/>
      <c r="F264" s="403"/>
      <c r="G264" s="386" t="str">
        <f>IF(TBL_008_Qs_Lot_1[[#This Row],[Type]]="Question", IF(SQ_Weighted?="Yes", "", "N/A"), "")</f>
        <v/>
      </c>
      <c r="H26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4" s="380" t="str">
        <f t="array" ref="I26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4" s="391" t="s">
        <v>779</v>
      </c>
      <c r="K264" s="386" t="s">
        <v>1089</v>
      </c>
      <c r="L264" s="392" t="s">
        <v>1042</v>
      </c>
      <c r="M264" s="386" t="str">
        <f>IF(TBL_008_Qs_Lot_1[[#This Row],[Required?]]="No", "N/A", Int_or_SV)</f>
        <v>N/A</v>
      </c>
      <c r="N264" s="387" t="str">
        <f>IF(OR('Project Info'!$B$20="SQ", Price_split=100), "No", IF(Int_or_SV="Not applicable", "No", "Yes"))</f>
        <v>No</v>
      </c>
    </row>
    <row r="265" spans="1:14" ht="14">
      <c r="A265" s="402" t="str">
        <f>IF(TBL_008_Qs_Lot_1[[#This Row],[Type]]="Question", K266, IF(TBL_008_Qs_Lot_1[[#This Row],[Sub_No]]="N/A", "", CONCATENATE(TBL_008_Qs_Lot_1[[#This Row],[Q_No]], TBL_008_Qs_Lot_1[[#This Row],[Sub_No]])))</f>
        <v>Q5.1.7</v>
      </c>
      <c r="B265" s="402" t="s">
        <v>398</v>
      </c>
      <c r="C265" s="394"/>
      <c r="D265" s="386"/>
      <c r="E265" s="386"/>
      <c r="F265" s="403"/>
      <c r="G265" s="386" t="str">
        <f>IF(TBL_008_Qs_Lot_1[[#This Row],[Type]]="Question", IF(SQ_Weighted?="Yes", "", "N/A"), "")</f>
        <v/>
      </c>
      <c r="H26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5" s="380" t="str">
        <f t="array" ref="I26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5" s="391" t="s">
        <v>779</v>
      </c>
      <c r="K265" s="386" t="s">
        <v>1089</v>
      </c>
      <c r="L265" s="392" t="s">
        <v>1043</v>
      </c>
      <c r="M265" s="386" t="str">
        <f>IF(TBL_008_Qs_Lot_1[[#This Row],[Required?]]="No", "N/A", Int_or_SV)</f>
        <v>N/A</v>
      </c>
      <c r="N265" s="387" t="str">
        <f>IF(OR('Project Info'!$B$20="SQ", Price_split=100), "No", IF(Int_or_SV="Not applicable", "No", "Yes"))</f>
        <v>No</v>
      </c>
    </row>
    <row r="266" spans="1:14" ht="14">
      <c r="A266" s="402" t="str">
        <f>IF(TBL_008_Qs_Lot_1[[#This Row],[Type]]="Question", K267, IF(TBL_008_Qs_Lot_1[[#This Row],[Sub_No]]="N/A", "", CONCATENATE(TBL_008_Qs_Lot_1[[#This Row],[Q_No]], TBL_008_Qs_Lot_1[[#This Row],[Sub_No]])))</f>
        <v>Q5.1.8</v>
      </c>
      <c r="B266" s="402" t="s">
        <v>398</v>
      </c>
      <c r="C266" s="394"/>
      <c r="D266" s="386"/>
      <c r="E266" s="386"/>
      <c r="F266" s="403"/>
      <c r="G266" s="386" t="str">
        <f>IF(TBL_008_Qs_Lot_1[[#This Row],[Type]]="Question", IF(SQ_Weighted?="Yes", "", "N/A"), "")</f>
        <v/>
      </c>
      <c r="H26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6" s="380" t="str">
        <f t="array" ref="I26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6" s="391" t="s">
        <v>779</v>
      </c>
      <c r="K266" s="386" t="s">
        <v>1089</v>
      </c>
      <c r="L266" s="392" t="s">
        <v>1044</v>
      </c>
      <c r="M266" s="386" t="str">
        <f>IF(TBL_008_Qs_Lot_1[[#This Row],[Required?]]="No", "N/A", Int_or_SV)</f>
        <v>N/A</v>
      </c>
      <c r="N266" s="387" t="str">
        <f>IF(OR('Project Info'!$B$20="SQ", Price_split=100), "No", IF(Int_or_SV="Not applicable", "No", "Yes"))</f>
        <v>No</v>
      </c>
    </row>
    <row r="267" spans="1:14" ht="14">
      <c r="A267" s="402" t="str">
        <f>IF(TBL_008_Qs_Lot_1[[#This Row],[Type]]="Question", K268, IF(TBL_008_Qs_Lot_1[[#This Row],[Sub_No]]="N/A", "", CONCATENATE(TBL_008_Qs_Lot_1[[#This Row],[Q_No]], TBL_008_Qs_Lot_1[[#This Row],[Sub_No]])))</f>
        <v>Q5.1.9</v>
      </c>
      <c r="B267" s="402" t="s">
        <v>398</v>
      </c>
      <c r="C267" s="394"/>
      <c r="D267" s="386"/>
      <c r="E267" s="386"/>
      <c r="F267" s="403"/>
      <c r="G267" s="386" t="str">
        <f>IF(TBL_008_Qs_Lot_1[[#This Row],[Type]]="Question", IF(SQ_Weighted?="Yes", "", "N/A"), "")</f>
        <v/>
      </c>
      <c r="H26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7" s="380" t="str">
        <f t="array" ref="I26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7" s="391" t="s">
        <v>779</v>
      </c>
      <c r="K267" s="386" t="s">
        <v>1089</v>
      </c>
      <c r="L267" s="392" t="s">
        <v>1045</v>
      </c>
      <c r="M267" s="386" t="str">
        <f>IF(TBL_008_Qs_Lot_1[[#This Row],[Required?]]="No", "N/A", Int_or_SV)</f>
        <v>N/A</v>
      </c>
      <c r="N267" s="387" t="str">
        <f>IF(OR('Project Info'!$B$20="SQ", Price_split=100), "No", IF(Int_or_SV="Not applicable", "No", "Yes"))</f>
        <v>No</v>
      </c>
    </row>
    <row r="268" spans="1:14" ht="14">
      <c r="A268" s="402" t="str">
        <f>IF(TBL_008_Qs_Lot_1[[#This Row],[Type]]="Question", K269, IF(TBL_008_Qs_Lot_1[[#This Row],[Sub_No]]="N/A", "", CONCATENATE(TBL_008_Qs_Lot_1[[#This Row],[Q_No]], TBL_008_Qs_Lot_1[[#This Row],[Sub_No]])))</f>
        <v>Q5.1.10</v>
      </c>
      <c r="B268" s="402" t="s">
        <v>398</v>
      </c>
      <c r="C268" s="394"/>
      <c r="D268" s="386"/>
      <c r="E268" s="386"/>
      <c r="F268" s="403"/>
      <c r="G268" s="386" t="str">
        <f>IF(TBL_008_Qs_Lot_1[[#This Row],[Type]]="Question", IF(SQ_Weighted?="Yes", "", "N/A"), "")</f>
        <v/>
      </c>
      <c r="H26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68" s="380" t="str">
        <f t="array" ref="I26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68" s="391" t="s">
        <v>779</v>
      </c>
      <c r="K268" s="386" t="s">
        <v>1089</v>
      </c>
      <c r="L268" s="392" t="s">
        <v>1046</v>
      </c>
      <c r="M268" s="386" t="str">
        <f>IF(TBL_008_Qs_Lot_1[[#This Row],[Required?]]="No", "N/A", Int_or_SV)</f>
        <v>N/A</v>
      </c>
      <c r="N268" s="387" t="str">
        <f>IF(OR('Project Info'!$B$20="SQ", Price_split=100), "No", IF(Int_or_SV="Not applicable", "No", "Yes"))</f>
        <v>No</v>
      </c>
    </row>
    <row r="269" spans="1:14" ht="14">
      <c r="A269" s="378" t="str">
        <f>IF(TBL_008_Qs_Lot_1[[#This Row],[Type]]="Question", K270, IF(TBL_008_Qs_Lot_1[[#This Row],[Sub_No]]="N/A", "", CONCATENATE(TBL_008_Qs_Lot_1[[#This Row],[Q_No]], TBL_008_Qs_Lot_1[[#This Row],[Sub_No]])))</f>
        <v>Q5.2</v>
      </c>
      <c r="B269" s="378" t="s">
        <v>398</v>
      </c>
      <c r="C269" s="398"/>
      <c r="D269" s="401" t="s">
        <v>24</v>
      </c>
      <c r="E269" s="401" t="s">
        <v>24</v>
      </c>
      <c r="F269" s="382" t="s">
        <v>24</v>
      </c>
      <c r="G269" s="380" t="str">
        <f>IF(TBL_008_Qs_Lot_1[[#This Row],[Type]]="Question", IF(IntSV_Weighted?="Yes", "", "N/A"), "")</f>
        <v>N/A</v>
      </c>
      <c r="H269"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69" s="380">
        <f t="array" ref="I26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69" s="383" t="s">
        <v>209</v>
      </c>
      <c r="K269" s="386" t="s">
        <v>24</v>
      </c>
      <c r="L269" s="385" t="s">
        <v>24</v>
      </c>
      <c r="M269" s="386" t="str">
        <f>IF(TBL_008_Qs_Lot_1[[#This Row],[Required?]]="No", "N/A", Int_or_SV)</f>
        <v>N/A</v>
      </c>
      <c r="N269" s="387" t="str">
        <f>IF(OR('Project Info'!$B$20="SQ", Price_split=100), "No", IF(Int_or_SV="Not applicable", "No", "Yes"))</f>
        <v>No</v>
      </c>
    </row>
    <row r="270" spans="1:14" ht="14">
      <c r="A270" s="402" t="str">
        <f>IF(TBL_008_Qs_Lot_1[[#This Row],[Type]]="Question", K271, IF(TBL_008_Qs_Lot_1[[#This Row],[Sub_No]]="N/A", "", CONCATENATE(TBL_008_Qs_Lot_1[[#This Row],[Q_No]], TBL_008_Qs_Lot_1[[#This Row],[Sub_No]])))</f>
        <v>Q5.2.1</v>
      </c>
      <c r="B270" s="402" t="s">
        <v>398</v>
      </c>
      <c r="C270" s="394"/>
      <c r="D270" s="386"/>
      <c r="E270" s="386"/>
      <c r="F270" s="403"/>
      <c r="G270" s="386" t="str">
        <f>IF(TBL_008_Qs_Lot_1[[#This Row],[Type]]="Question", IF(SQ_Weighted?="Yes", "", "N/A"), "")</f>
        <v/>
      </c>
      <c r="H27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0" s="380" t="str">
        <f t="array" ref="I27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0" s="391" t="s">
        <v>779</v>
      </c>
      <c r="K270" s="386" t="s">
        <v>1090</v>
      </c>
      <c r="L270" s="392" t="s">
        <v>1037</v>
      </c>
      <c r="M270" s="386" t="str">
        <f>IF(TBL_008_Qs_Lot_1[[#This Row],[Required?]]="No", "N/A", Int_or_SV)</f>
        <v>N/A</v>
      </c>
      <c r="N270" s="387" t="str">
        <f>IF(OR('Project Info'!$B$20="SQ", Price_split=100), "No", IF(Int_or_SV="Not applicable", "No", "Yes"))</f>
        <v>No</v>
      </c>
    </row>
    <row r="271" spans="1:14" ht="14">
      <c r="A271" s="402" t="str">
        <f>IF(TBL_008_Qs_Lot_1[[#This Row],[Type]]="Question", K272, IF(TBL_008_Qs_Lot_1[[#This Row],[Sub_No]]="N/A", "", CONCATENATE(TBL_008_Qs_Lot_1[[#This Row],[Q_No]], TBL_008_Qs_Lot_1[[#This Row],[Sub_No]])))</f>
        <v>Q5.2.2</v>
      </c>
      <c r="B271" s="402" t="s">
        <v>398</v>
      </c>
      <c r="C271" s="394"/>
      <c r="D271" s="386"/>
      <c r="E271" s="386"/>
      <c r="F271" s="403"/>
      <c r="G271" s="386" t="str">
        <f>IF(TBL_008_Qs_Lot_1[[#This Row],[Type]]="Question", IF(SQ_Weighted?="Yes", "", "N/A"), "")</f>
        <v/>
      </c>
      <c r="H27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1" s="380" t="str">
        <f t="array" ref="I27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1" s="391" t="s">
        <v>779</v>
      </c>
      <c r="K271" s="386" t="s">
        <v>1090</v>
      </c>
      <c r="L271" s="392" t="s">
        <v>1041</v>
      </c>
      <c r="M271" s="386" t="str">
        <f>IF(TBL_008_Qs_Lot_1[[#This Row],[Required?]]="No", "N/A", Int_or_SV)</f>
        <v>N/A</v>
      </c>
      <c r="N271" s="387" t="str">
        <f>IF(OR('Project Info'!$B$20="SQ", Price_split=100), "No", IF(Int_or_SV="Not applicable", "No", "Yes"))</f>
        <v>No</v>
      </c>
    </row>
    <row r="272" spans="1:14" ht="14">
      <c r="A272" s="402" t="str">
        <f>IF(TBL_008_Qs_Lot_1[[#This Row],[Type]]="Question", K273, IF(TBL_008_Qs_Lot_1[[#This Row],[Sub_No]]="N/A", "", CONCATENATE(TBL_008_Qs_Lot_1[[#This Row],[Q_No]], TBL_008_Qs_Lot_1[[#This Row],[Sub_No]])))</f>
        <v>Q5.2.3</v>
      </c>
      <c r="B272" s="402" t="s">
        <v>398</v>
      </c>
      <c r="C272" s="394"/>
      <c r="D272" s="386"/>
      <c r="E272" s="386"/>
      <c r="F272" s="403"/>
      <c r="G272" s="386" t="str">
        <f>IF(TBL_008_Qs_Lot_1[[#This Row],[Type]]="Question", IF(SQ_Weighted?="Yes", "", "N/A"), "")</f>
        <v/>
      </c>
      <c r="H27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2" s="380" t="str">
        <f t="array" ref="I27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2" s="391" t="s">
        <v>779</v>
      </c>
      <c r="K272" s="386" t="s">
        <v>1090</v>
      </c>
      <c r="L272" s="392" t="s">
        <v>1038</v>
      </c>
      <c r="M272" s="386" t="str">
        <f>IF(TBL_008_Qs_Lot_1[[#This Row],[Required?]]="No", "N/A", Int_or_SV)</f>
        <v>N/A</v>
      </c>
      <c r="N272" s="387" t="str">
        <f>IF(OR('Project Info'!$B$20="SQ", Price_split=100), "No", IF(Int_or_SV="Not applicable", "No", "Yes"))</f>
        <v>No</v>
      </c>
    </row>
    <row r="273" spans="1:14" ht="14">
      <c r="A273" s="402" t="str">
        <f>IF(TBL_008_Qs_Lot_1[[#This Row],[Type]]="Question", K274, IF(TBL_008_Qs_Lot_1[[#This Row],[Sub_No]]="N/A", "", CONCATENATE(TBL_008_Qs_Lot_1[[#This Row],[Q_No]], TBL_008_Qs_Lot_1[[#This Row],[Sub_No]])))</f>
        <v>Q5.2.4</v>
      </c>
      <c r="B273" s="402" t="s">
        <v>398</v>
      </c>
      <c r="C273" s="394"/>
      <c r="D273" s="386"/>
      <c r="E273" s="386"/>
      <c r="F273" s="403"/>
      <c r="G273" s="386" t="str">
        <f>IF(TBL_008_Qs_Lot_1[[#This Row],[Type]]="Question", IF(SQ_Weighted?="Yes", "", "N/A"), "")</f>
        <v/>
      </c>
      <c r="H27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3" s="380" t="str">
        <f t="array" ref="I27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3" s="391" t="s">
        <v>779</v>
      </c>
      <c r="K273" s="386" t="s">
        <v>1090</v>
      </c>
      <c r="L273" s="392" t="s">
        <v>1039</v>
      </c>
      <c r="M273" s="386" t="str">
        <f>IF(TBL_008_Qs_Lot_1[[#This Row],[Required?]]="No", "N/A", Int_or_SV)</f>
        <v>N/A</v>
      </c>
      <c r="N273" s="387" t="str">
        <f>IF(OR('Project Info'!$B$20="SQ", Price_split=100), "No", IF(Int_or_SV="Not applicable", "No", "Yes"))</f>
        <v>No</v>
      </c>
    </row>
    <row r="274" spans="1:14" ht="14">
      <c r="A274" s="402" t="str">
        <f>IF(TBL_008_Qs_Lot_1[[#This Row],[Type]]="Question", K275, IF(TBL_008_Qs_Lot_1[[#This Row],[Sub_No]]="N/A", "", CONCATENATE(TBL_008_Qs_Lot_1[[#This Row],[Q_No]], TBL_008_Qs_Lot_1[[#This Row],[Sub_No]])))</f>
        <v>Q5.2.5</v>
      </c>
      <c r="B274" s="402" t="s">
        <v>398</v>
      </c>
      <c r="C274" s="394"/>
      <c r="D274" s="386"/>
      <c r="E274" s="386"/>
      <c r="F274" s="403"/>
      <c r="G274" s="386" t="str">
        <f>IF(TBL_008_Qs_Lot_1[[#This Row],[Type]]="Question", IF(SQ_Weighted?="Yes", "", "N/A"), "")</f>
        <v/>
      </c>
      <c r="H27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4" s="380" t="str">
        <f t="array" ref="I27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4" s="391" t="s">
        <v>779</v>
      </c>
      <c r="K274" s="386" t="s">
        <v>1090</v>
      </c>
      <c r="L274" s="392" t="s">
        <v>1040</v>
      </c>
      <c r="M274" s="386" t="str">
        <f>IF(TBL_008_Qs_Lot_1[[#This Row],[Required?]]="No", "N/A", Int_or_SV)</f>
        <v>N/A</v>
      </c>
      <c r="N274" s="387" t="str">
        <f>IF(OR('Project Info'!$B$20="SQ", Price_split=100), "No", IF(Int_or_SV="Not applicable", "No", "Yes"))</f>
        <v>No</v>
      </c>
    </row>
    <row r="275" spans="1:14" ht="14">
      <c r="A275" s="402" t="str">
        <f>IF(TBL_008_Qs_Lot_1[[#This Row],[Type]]="Question", K276, IF(TBL_008_Qs_Lot_1[[#This Row],[Sub_No]]="N/A", "", CONCATENATE(TBL_008_Qs_Lot_1[[#This Row],[Q_No]], TBL_008_Qs_Lot_1[[#This Row],[Sub_No]])))</f>
        <v>Q5.2.6</v>
      </c>
      <c r="B275" s="402" t="s">
        <v>398</v>
      </c>
      <c r="C275" s="394"/>
      <c r="D275" s="386"/>
      <c r="E275" s="386"/>
      <c r="F275" s="403"/>
      <c r="G275" s="386" t="str">
        <f>IF(TBL_008_Qs_Lot_1[[#This Row],[Type]]="Question", IF(SQ_Weighted?="Yes", "", "N/A"), "")</f>
        <v/>
      </c>
      <c r="H27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5" s="380" t="str">
        <f t="array" ref="I27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5" s="391" t="s">
        <v>779</v>
      </c>
      <c r="K275" s="386" t="s">
        <v>1090</v>
      </c>
      <c r="L275" s="392" t="s">
        <v>1042</v>
      </c>
      <c r="M275" s="386" t="str">
        <f>IF(TBL_008_Qs_Lot_1[[#This Row],[Required?]]="No", "N/A", Int_or_SV)</f>
        <v>N/A</v>
      </c>
      <c r="N275" s="387" t="str">
        <f>IF(OR('Project Info'!$B$20="SQ", Price_split=100), "No", IF(Int_or_SV="Not applicable", "No", "Yes"))</f>
        <v>No</v>
      </c>
    </row>
    <row r="276" spans="1:14" ht="14">
      <c r="A276" s="402" t="str">
        <f>IF(TBL_008_Qs_Lot_1[[#This Row],[Type]]="Question", K277, IF(TBL_008_Qs_Lot_1[[#This Row],[Sub_No]]="N/A", "", CONCATENATE(TBL_008_Qs_Lot_1[[#This Row],[Q_No]], TBL_008_Qs_Lot_1[[#This Row],[Sub_No]])))</f>
        <v>Q5.2.7</v>
      </c>
      <c r="B276" s="402" t="s">
        <v>398</v>
      </c>
      <c r="C276" s="394"/>
      <c r="D276" s="386"/>
      <c r="E276" s="386"/>
      <c r="F276" s="403"/>
      <c r="G276" s="386" t="str">
        <f>IF(TBL_008_Qs_Lot_1[[#This Row],[Type]]="Question", IF(SQ_Weighted?="Yes", "", "N/A"), "")</f>
        <v/>
      </c>
      <c r="H27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6" s="380" t="str">
        <f t="array" ref="I27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6" s="391" t="s">
        <v>779</v>
      </c>
      <c r="K276" s="386" t="s">
        <v>1090</v>
      </c>
      <c r="L276" s="392" t="s">
        <v>1043</v>
      </c>
      <c r="M276" s="386" t="str">
        <f>IF(TBL_008_Qs_Lot_1[[#This Row],[Required?]]="No", "N/A", Int_or_SV)</f>
        <v>N/A</v>
      </c>
      <c r="N276" s="387" t="str">
        <f>IF(OR('Project Info'!$B$20="SQ", Price_split=100), "No", IF(Int_or_SV="Not applicable", "No", "Yes"))</f>
        <v>No</v>
      </c>
    </row>
    <row r="277" spans="1:14" ht="14">
      <c r="A277" s="402" t="str">
        <f>IF(TBL_008_Qs_Lot_1[[#This Row],[Type]]="Question", K278, IF(TBL_008_Qs_Lot_1[[#This Row],[Sub_No]]="N/A", "", CONCATENATE(TBL_008_Qs_Lot_1[[#This Row],[Q_No]], TBL_008_Qs_Lot_1[[#This Row],[Sub_No]])))</f>
        <v>Q5.2.8</v>
      </c>
      <c r="B277" s="402" t="s">
        <v>398</v>
      </c>
      <c r="C277" s="394"/>
      <c r="D277" s="386"/>
      <c r="E277" s="386"/>
      <c r="F277" s="403"/>
      <c r="G277" s="386" t="str">
        <f>IF(TBL_008_Qs_Lot_1[[#This Row],[Type]]="Question", IF(SQ_Weighted?="Yes", "", "N/A"), "")</f>
        <v/>
      </c>
      <c r="H27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7" s="380" t="str">
        <f t="array" ref="I27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7" s="391" t="s">
        <v>779</v>
      </c>
      <c r="K277" s="386" t="s">
        <v>1090</v>
      </c>
      <c r="L277" s="392" t="s">
        <v>1044</v>
      </c>
      <c r="M277" s="386" t="str">
        <f>IF(TBL_008_Qs_Lot_1[[#This Row],[Required?]]="No", "N/A", Int_or_SV)</f>
        <v>N/A</v>
      </c>
      <c r="N277" s="387" t="str">
        <f>IF(OR('Project Info'!$B$20="SQ", Price_split=100), "No", IF(Int_or_SV="Not applicable", "No", "Yes"))</f>
        <v>No</v>
      </c>
    </row>
    <row r="278" spans="1:14" ht="14">
      <c r="A278" s="402" t="str">
        <f>IF(TBL_008_Qs_Lot_1[[#This Row],[Type]]="Question", K279, IF(TBL_008_Qs_Lot_1[[#This Row],[Sub_No]]="N/A", "", CONCATENATE(TBL_008_Qs_Lot_1[[#This Row],[Q_No]], TBL_008_Qs_Lot_1[[#This Row],[Sub_No]])))</f>
        <v>Q5.2.9</v>
      </c>
      <c r="B278" s="402" t="s">
        <v>398</v>
      </c>
      <c r="C278" s="394"/>
      <c r="D278" s="386"/>
      <c r="E278" s="386"/>
      <c r="F278" s="403"/>
      <c r="G278" s="386" t="str">
        <f>IF(TBL_008_Qs_Lot_1[[#This Row],[Type]]="Question", IF(SQ_Weighted?="Yes", "", "N/A"), "")</f>
        <v/>
      </c>
      <c r="H27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8" s="380" t="str">
        <f t="array" ref="I27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8" s="391" t="s">
        <v>779</v>
      </c>
      <c r="K278" s="386" t="s">
        <v>1090</v>
      </c>
      <c r="L278" s="392" t="s">
        <v>1045</v>
      </c>
      <c r="M278" s="386" t="str">
        <f>IF(TBL_008_Qs_Lot_1[[#This Row],[Required?]]="No", "N/A", Int_or_SV)</f>
        <v>N/A</v>
      </c>
      <c r="N278" s="387" t="str">
        <f>IF(OR('Project Info'!$B$20="SQ", Price_split=100), "No", IF(Int_or_SV="Not applicable", "No", "Yes"))</f>
        <v>No</v>
      </c>
    </row>
    <row r="279" spans="1:14" ht="14">
      <c r="A279" s="402" t="str">
        <f>IF(TBL_008_Qs_Lot_1[[#This Row],[Type]]="Question", K280, IF(TBL_008_Qs_Lot_1[[#This Row],[Sub_No]]="N/A", "", CONCATENATE(TBL_008_Qs_Lot_1[[#This Row],[Q_No]], TBL_008_Qs_Lot_1[[#This Row],[Sub_No]])))</f>
        <v>Q5.2.10</v>
      </c>
      <c r="B279" s="402" t="s">
        <v>398</v>
      </c>
      <c r="C279" s="394"/>
      <c r="D279" s="386"/>
      <c r="E279" s="386"/>
      <c r="F279" s="403"/>
      <c r="G279" s="386" t="str">
        <f>IF(TBL_008_Qs_Lot_1[[#This Row],[Type]]="Question", IF(SQ_Weighted?="Yes", "", "N/A"), "")</f>
        <v/>
      </c>
      <c r="H27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79" s="380" t="str">
        <f t="array" ref="I27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79" s="391" t="s">
        <v>779</v>
      </c>
      <c r="K279" s="386" t="s">
        <v>1090</v>
      </c>
      <c r="L279" s="392" t="s">
        <v>1046</v>
      </c>
      <c r="M279" s="386" t="str">
        <f>IF(TBL_008_Qs_Lot_1[[#This Row],[Required?]]="No", "N/A", Int_or_SV)</f>
        <v>N/A</v>
      </c>
      <c r="N279" s="387" t="str">
        <f>IF(OR('Project Info'!$B$20="SQ", Price_split=100), "No", IF(Int_or_SV="Not applicable", "No", "Yes"))</f>
        <v>No</v>
      </c>
    </row>
    <row r="280" spans="1:14" ht="14">
      <c r="A280" s="378" t="str">
        <f>IF(TBL_008_Qs_Lot_1[[#This Row],[Type]]="Question", K281, IF(TBL_008_Qs_Lot_1[[#This Row],[Sub_No]]="N/A", "", CONCATENATE(TBL_008_Qs_Lot_1[[#This Row],[Q_No]], TBL_008_Qs_Lot_1[[#This Row],[Sub_No]])))</f>
        <v>Q5.3</v>
      </c>
      <c r="B280" s="378" t="s">
        <v>398</v>
      </c>
      <c r="C280" s="398"/>
      <c r="D280" s="401" t="s">
        <v>24</v>
      </c>
      <c r="E280" s="401" t="s">
        <v>24</v>
      </c>
      <c r="F280" s="382" t="s">
        <v>24</v>
      </c>
      <c r="G280" s="380" t="str">
        <f>IF(TBL_008_Qs_Lot_1[[#This Row],[Type]]="Question", IF(IntSV_Weighted?="Yes", "", "N/A"), "")</f>
        <v>N/A</v>
      </c>
      <c r="H280"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80" s="380">
        <f t="array" ref="I28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80" s="383" t="s">
        <v>209</v>
      </c>
      <c r="K280" s="386" t="s">
        <v>24</v>
      </c>
      <c r="L280" s="385" t="s">
        <v>24</v>
      </c>
      <c r="M280" s="386" t="str">
        <f>IF(TBL_008_Qs_Lot_1[[#This Row],[Required?]]="No", "N/A", Int_or_SV)</f>
        <v>N/A</v>
      </c>
      <c r="N280" s="387" t="str">
        <f>IF(OR('Project Info'!$B$20="SQ", Price_split=100), "No", IF(Int_or_SV="Not applicable", "No", "Yes"))</f>
        <v>No</v>
      </c>
    </row>
    <row r="281" spans="1:14" ht="14">
      <c r="A281" s="402" t="str">
        <f>IF(TBL_008_Qs_Lot_1[[#This Row],[Type]]="Question", K282, IF(TBL_008_Qs_Lot_1[[#This Row],[Sub_No]]="N/A", "", CONCATENATE(TBL_008_Qs_Lot_1[[#This Row],[Q_No]], TBL_008_Qs_Lot_1[[#This Row],[Sub_No]])))</f>
        <v>Q5.3.1</v>
      </c>
      <c r="B281" s="402" t="s">
        <v>398</v>
      </c>
      <c r="C281" s="394"/>
      <c r="D281" s="386"/>
      <c r="E281" s="386"/>
      <c r="F281" s="403"/>
      <c r="G281" s="386" t="str">
        <f>IF(TBL_008_Qs_Lot_1[[#This Row],[Type]]="Question", IF(SQ_Weighted?="Yes", "", "N/A"), "")</f>
        <v/>
      </c>
      <c r="H28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1" s="380" t="str">
        <f t="array" ref="I28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1" s="391" t="s">
        <v>779</v>
      </c>
      <c r="K281" s="386" t="s">
        <v>1091</v>
      </c>
      <c r="L281" s="392" t="s">
        <v>1037</v>
      </c>
      <c r="M281" s="386" t="str">
        <f>IF(TBL_008_Qs_Lot_1[[#This Row],[Required?]]="No", "N/A", Int_or_SV)</f>
        <v>N/A</v>
      </c>
      <c r="N281" s="387" t="str">
        <f>IF(OR('Project Info'!$B$20="SQ", Price_split=100), "No", IF(Int_or_SV="Not applicable", "No", "Yes"))</f>
        <v>No</v>
      </c>
    </row>
    <row r="282" spans="1:14" ht="14">
      <c r="A282" s="402" t="str">
        <f>IF(TBL_008_Qs_Lot_1[[#This Row],[Type]]="Question", K283, IF(TBL_008_Qs_Lot_1[[#This Row],[Sub_No]]="N/A", "", CONCATENATE(TBL_008_Qs_Lot_1[[#This Row],[Q_No]], TBL_008_Qs_Lot_1[[#This Row],[Sub_No]])))</f>
        <v>Q5.3.2</v>
      </c>
      <c r="B282" s="402" t="s">
        <v>398</v>
      </c>
      <c r="C282" s="394"/>
      <c r="D282" s="386"/>
      <c r="E282" s="386"/>
      <c r="F282" s="403"/>
      <c r="G282" s="386" t="str">
        <f>IF(TBL_008_Qs_Lot_1[[#This Row],[Type]]="Question", IF(SQ_Weighted?="Yes", "", "N/A"), "")</f>
        <v/>
      </c>
      <c r="H28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2" s="380" t="str">
        <f t="array" ref="I28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2" s="391" t="s">
        <v>779</v>
      </c>
      <c r="K282" s="386" t="s">
        <v>1091</v>
      </c>
      <c r="L282" s="392" t="s">
        <v>1041</v>
      </c>
      <c r="M282" s="386" t="str">
        <f>IF(TBL_008_Qs_Lot_1[[#This Row],[Required?]]="No", "N/A", Int_or_SV)</f>
        <v>N/A</v>
      </c>
      <c r="N282" s="387" t="str">
        <f>IF(OR('Project Info'!$B$20="SQ", Price_split=100), "No", IF(Int_or_SV="Not applicable", "No", "Yes"))</f>
        <v>No</v>
      </c>
    </row>
    <row r="283" spans="1:14" ht="14">
      <c r="A283" s="402" t="str">
        <f>IF(TBL_008_Qs_Lot_1[[#This Row],[Type]]="Question", K284, IF(TBL_008_Qs_Lot_1[[#This Row],[Sub_No]]="N/A", "", CONCATENATE(TBL_008_Qs_Lot_1[[#This Row],[Q_No]], TBL_008_Qs_Lot_1[[#This Row],[Sub_No]])))</f>
        <v>Q5.3.3</v>
      </c>
      <c r="B283" s="402" t="s">
        <v>398</v>
      </c>
      <c r="C283" s="394"/>
      <c r="D283" s="386"/>
      <c r="E283" s="386"/>
      <c r="F283" s="403"/>
      <c r="G283" s="386" t="str">
        <f>IF(TBL_008_Qs_Lot_1[[#This Row],[Type]]="Question", IF(SQ_Weighted?="Yes", "", "N/A"), "")</f>
        <v/>
      </c>
      <c r="H28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3" s="380" t="str">
        <f t="array" ref="I28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3" s="391" t="s">
        <v>779</v>
      </c>
      <c r="K283" s="386" t="s">
        <v>1091</v>
      </c>
      <c r="L283" s="392" t="s">
        <v>1038</v>
      </c>
      <c r="M283" s="386" t="str">
        <f>IF(TBL_008_Qs_Lot_1[[#This Row],[Required?]]="No", "N/A", Int_or_SV)</f>
        <v>N/A</v>
      </c>
      <c r="N283" s="387" t="str">
        <f>IF(OR('Project Info'!$B$20="SQ", Price_split=100), "No", IF(Int_or_SV="Not applicable", "No", "Yes"))</f>
        <v>No</v>
      </c>
    </row>
    <row r="284" spans="1:14" ht="14">
      <c r="A284" s="402" t="str">
        <f>IF(TBL_008_Qs_Lot_1[[#This Row],[Type]]="Question", K285, IF(TBL_008_Qs_Lot_1[[#This Row],[Sub_No]]="N/A", "", CONCATENATE(TBL_008_Qs_Lot_1[[#This Row],[Q_No]], TBL_008_Qs_Lot_1[[#This Row],[Sub_No]])))</f>
        <v>Q5.3.4</v>
      </c>
      <c r="B284" s="402" t="s">
        <v>398</v>
      </c>
      <c r="C284" s="394"/>
      <c r="D284" s="386"/>
      <c r="E284" s="386"/>
      <c r="F284" s="403"/>
      <c r="G284" s="386" t="str">
        <f>IF(TBL_008_Qs_Lot_1[[#This Row],[Type]]="Question", IF(SQ_Weighted?="Yes", "", "N/A"), "")</f>
        <v/>
      </c>
      <c r="H28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4" s="380" t="str">
        <f t="array" ref="I28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4" s="391" t="s">
        <v>779</v>
      </c>
      <c r="K284" s="386" t="s">
        <v>1091</v>
      </c>
      <c r="L284" s="392" t="s">
        <v>1039</v>
      </c>
      <c r="M284" s="386" t="str">
        <f>IF(TBL_008_Qs_Lot_1[[#This Row],[Required?]]="No", "N/A", Int_or_SV)</f>
        <v>N/A</v>
      </c>
      <c r="N284" s="387" t="str">
        <f>IF(OR('Project Info'!$B$20="SQ", Price_split=100), "No", IF(Int_or_SV="Not applicable", "No", "Yes"))</f>
        <v>No</v>
      </c>
    </row>
    <row r="285" spans="1:14" ht="14">
      <c r="A285" s="402" t="str">
        <f>IF(TBL_008_Qs_Lot_1[[#This Row],[Type]]="Question", K286, IF(TBL_008_Qs_Lot_1[[#This Row],[Sub_No]]="N/A", "", CONCATENATE(TBL_008_Qs_Lot_1[[#This Row],[Q_No]], TBL_008_Qs_Lot_1[[#This Row],[Sub_No]])))</f>
        <v>Q5.3.5</v>
      </c>
      <c r="B285" s="402" t="s">
        <v>398</v>
      </c>
      <c r="C285" s="394"/>
      <c r="D285" s="386"/>
      <c r="E285" s="386"/>
      <c r="F285" s="403"/>
      <c r="G285" s="386" t="str">
        <f>IF(TBL_008_Qs_Lot_1[[#This Row],[Type]]="Question", IF(SQ_Weighted?="Yes", "", "N/A"), "")</f>
        <v/>
      </c>
      <c r="H28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5" s="380" t="str">
        <f t="array" ref="I28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5" s="391" t="s">
        <v>779</v>
      </c>
      <c r="K285" s="386" t="s">
        <v>1091</v>
      </c>
      <c r="L285" s="392" t="s">
        <v>1040</v>
      </c>
      <c r="M285" s="386" t="str">
        <f>IF(TBL_008_Qs_Lot_1[[#This Row],[Required?]]="No", "N/A", Int_or_SV)</f>
        <v>N/A</v>
      </c>
      <c r="N285" s="387" t="str">
        <f>IF(OR('Project Info'!$B$20="SQ", Price_split=100), "No", IF(Int_or_SV="Not applicable", "No", "Yes"))</f>
        <v>No</v>
      </c>
    </row>
    <row r="286" spans="1:14" ht="14">
      <c r="A286" s="402" t="str">
        <f>IF(TBL_008_Qs_Lot_1[[#This Row],[Type]]="Question", K287, IF(TBL_008_Qs_Lot_1[[#This Row],[Sub_No]]="N/A", "", CONCATENATE(TBL_008_Qs_Lot_1[[#This Row],[Q_No]], TBL_008_Qs_Lot_1[[#This Row],[Sub_No]])))</f>
        <v>Q5.3.6</v>
      </c>
      <c r="B286" s="402" t="s">
        <v>398</v>
      </c>
      <c r="C286" s="394"/>
      <c r="D286" s="386"/>
      <c r="E286" s="386"/>
      <c r="F286" s="403"/>
      <c r="G286" s="386" t="str">
        <f>IF(TBL_008_Qs_Lot_1[[#This Row],[Type]]="Question", IF(SQ_Weighted?="Yes", "", "N/A"), "")</f>
        <v/>
      </c>
      <c r="H28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6" s="380" t="str">
        <f t="array" ref="I28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6" s="391" t="s">
        <v>779</v>
      </c>
      <c r="K286" s="386" t="s">
        <v>1091</v>
      </c>
      <c r="L286" s="392" t="s">
        <v>1042</v>
      </c>
      <c r="M286" s="386" t="str">
        <f>IF(TBL_008_Qs_Lot_1[[#This Row],[Required?]]="No", "N/A", Int_or_SV)</f>
        <v>N/A</v>
      </c>
      <c r="N286" s="387" t="str">
        <f>IF(OR('Project Info'!$B$20="SQ", Price_split=100), "No", IF(Int_or_SV="Not applicable", "No", "Yes"))</f>
        <v>No</v>
      </c>
    </row>
    <row r="287" spans="1:14" ht="14">
      <c r="A287" s="402" t="str">
        <f>IF(TBL_008_Qs_Lot_1[[#This Row],[Type]]="Question", K288, IF(TBL_008_Qs_Lot_1[[#This Row],[Sub_No]]="N/A", "", CONCATENATE(TBL_008_Qs_Lot_1[[#This Row],[Q_No]], TBL_008_Qs_Lot_1[[#This Row],[Sub_No]])))</f>
        <v>Q5.3.7</v>
      </c>
      <c r="B287" s="402" t="s">
        <v>398</v>
      </c>
      <c r="C287" s="394"/>
      <c r="D287" s="386"/>
      <c r="E287" s="386"/>
      <c r="F287" s="403"/>
      <c r="G287" s="386" t="str">
        <f>IF(TBL_008_Qs_Lot_1[[#This Row],[Type]]="Question", IF(SQ_Weighted?="Yes", "", "N/A"), "")</f>
        <v/>
      </c>
      <c r="H28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7" s="380" t="str">
        <f t="array" ref="I28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7" s="391" t="s">
        <v>779</v>
      </c>
      <c r="K287" s="386" t="s">
        <v>1091</v>
      </c>
      <c r="L287" s="392" t="s">
        <v>1043</v>
      </c>
      <c r="M287" s="386" t="str">
        <f>IF(TBL_008_Qs_Lot_1[[#This Row],[Required?]]="No", "N/A", Int_or_SV)</f>
        <v>N/A</v>
      </c>
      <c r="N287" s="387" t="str">
        <f>IF(OR('Project Info'!$B$20="SQ", Price_split=100), "No", IF(Int_or_SV="Not applicable", "No", "Yes"))</f>
        <v>No</v>
      </c>
    </row>
    <row r="288" spans="1:14" ht="14">
      <c r="A288" s="402" t="str">
        <f>IF(TBL_008_Qs_Lot_1[[#This Row],[Type]]="Question", K289, IF(TBL_008_Qs_Lot_1[[#This Row],[Sub_No]]="N/A", "", CONCATENATE(TBL_008_Qs_Lot_1[[#This Row],[Q_No]], TBL_008_Qs_Lot_1[[#This Row],[Sub_No]])))</f>
        <v>Q5.3.8</v>
      </c>
      <c r="B288" s="402" t="s">
        <v>398</v>
      </c>
      <c r="C288" s="394"/>
      <c r="D288" s="386"/>
      <c r="E288" s="386"/>
      <c r="F288" s="403"/>
      <c r="G288" s="386" t="str">
        <f>IF(TBL_008_Qs_Lot_1[[#This Row],[Type]]="Question", IF(SQ_Weighted?="Yes", "", "N/A"), "")</f>
        <v/>
      </c>
      <c r="H28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8" s="380" t="str">
        <f t="array" ref="I28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8" s="391" t="s">
        <v>779</v>
      </c>
      <c r="K288" s="386" t="s">
        <v>1091</v>
      </c>
      <c r="L288" s="392" t="s">
        <v>1044</v>
      </c>
      <c r="M288" s="386" t="str">
        <f>IF(TBL_008_Qs_Lot_1[[#This Row],[Required?]]="No", "N/A", Int_or_SV)</f>
        <v>N/A</v>
      </c>
      <c r="N288" s="387" t="str">
        <f>IF(OR('Project Info'!$B$20="SQ", Price_split=100), "No", IF(Int_or_SV="Not applicable", "No", "Yes"))</f>
        <v>No</v>
      </c>
    </row>
    <row r="289" spans="1:14" ht="14">
      <c r="A289" s="402" t="str">
        <f>IF(TBL_008_Qs_Lot_1[[#This Row],[Type]]="Question", K290, IF(TBL_008_Qs_Lot_1[[#This Row],[Sub_No]]="N/A", "", CONCATENATE(TBL_008_Qs_Lot_1[[#This Row],[Q_No]], TBL_008_Qs_Lot_1[[#This Row],[Sub_No]])))</f>
        <v>Q5.3.9</v>
      </c>
      <c r="B289" s="402" t="s">
        <v>398</v>
      </c>
      <c r="C289" s="394"/>
      <c r="D289" s="386"/>
      <c r="E289" s="386"/>
      <c r="F289" s="403"/>
      <c r="G289" s="386" t="str">
        <f>IF(TBL_008_Qs_Lot_1[[#This Row],[Type]]="Question", IF(SQ_Weighted?="Yes", "", "N/A"), "")</f>
        <v/>
      </c>
      <c r="H28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89" s="380" t="str">
        <f t="array" ref="I28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89" s="391" t="s">
        <v>779</v>
      </c>
      <c r="K289" s="386" t="s">
        <v>1091</v>
      </c>
      <c r="L289" s="392" t="s">
        <v>1045</v>
      </c>
      <c r="M289" s="386" t="str">
        <f>IF(TBL_008_Qs_Lot_1[[#This Row],[Required?]]="No", "N/A", Int_or_SV)</f>
        <v>N/A</v>
      </c>
      <c r="N289" s="387" t="str">
        <f>IF(OR('Project Info'!$B$20="SQ", Price_split=100), "No", IF(Int_or_SV="Not applicable", "No", "Yes"))</f>
        <v>No</v>
      </c>
    </row>
    <row r="290" spans="1:14" ht="14">
      <c r="A290" s="402" t="str">
        <f>IF(TBL_008_Qs_Lot_1[[#This Row],[Type]]="Question", K291, IF(TBL_008_Qs_Lot_1[[#This Row],[Sub_No]]="N/A", "", CONCATENATE(TBL_008_Qs_Lot_1[[#This Row],[Q_No]], TBL_008_Qs_Lot_1[[#This Row],[Sub_No]])))</f>
        <v>Q5.3.10</v>
      </c>
      <c r="B290" s="402" t="s">
        <v>398</v>
      </c>
      <c r="C290" s="394"/>
      <c r="D290" s="386"/>
      <c r="E290" s="386"/>
      <c r="F290" s="403"/>
      <c r="G290" s="386" t="str">
        <f>IF(TBL_008_Qs_Lot_1[[#This Row],[Type]]="Question", IF(SQ_Weighted?="Yes", "", "N/A"), "")</f>
        <v/>
      </c>
      <c r="H29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0" s="380" t="str">
        <f t="array" ref="I29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0" s="391" t="s">
        <v>779</v>
      </c>
      <c r="K290" s="386" t="s">
        <v>1091</v>
      </c>
      <c r="L290" s="392" t="s">
        <v>1046</v>
      </c>
      <c r="M290" s="386" t="str">
        <f>IF(TBL_008_Qs_Lot_1[[#This Row],[Required?]]="No", "N/A", Int_or_SV)</f>
        <v>N/A</v>
      </c>
      <c r="N290" s="387" t="str">
        <f>IF(OR('Project Info'!$B$20="SQ", Price_split=100), "No", IF(Int_or_SV="Not applicable", "No", "Yes"))</f>
        <v>No</v>
      </c>
    </row>
    <row r="291" spans="1:14" ht="14">
      <c r="A291" s="378" t="str">
        <f>IF(TBL_008_Qs_Lot_1[[#This Row],[Type]]="Question", K292, IF(TBL_008_Qs_Lot_1[[#This Row],[Sub_No]]="N/A", "", CONCATENATE(TBL_008_Qs_Lot_1[[#This Row],[Q_No]], TBL_008_Qs_Lot_1[[#This Row],[Sub_No]])))</f>
        <v>Q5.4</v>
      </c>
      <c r="B291" s="378" t="s">
        <v>398</v>
      </c>
      <c r="C291" s="398"/>
      <c r="D291" s="401" t="s">
        <v>24</v>
      </c>
      <c r="E291" s="401" t="s">
        <v>24</v>
      </c>
      <c r="F291" s="382" t="s">
        <v>24</v>
      </c>
      <c r="G291" s="380" t="str">
        <f>IF(TBL_008_Qs_Lot_1[[#This Row],[Type]]="Question", IF(IntSV_Weighted?="Yes", "", "N/A"), "")</f>
        <v>N/A</v>
      </c>
      <c r="H291"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291" s="380">
        <f t="array" ref="I29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291" s="383" t="s">
        <v>209</v>
      </c>
      <c r="K291" s="386" t="s">
        <v>24</v>
      </c>
      <c r="L291" s="385" t="s">
        <v>24</v>
      </c>
      <c r="M291" s="386" t="str">
        <f>IF(TBL_008_Qs_Lot_1[[#This Row],[Required?]]="No", "N/A", Int_or_SV)</f>
        <v>N/A</v>
      </c>
      <c r="N291" s="387" t="str">
        <f>IF(OR('Project Info'!$B$20="SQ", Price_split=100), "No", IF(Int_or_SV="Not applicable", "No", "Yes"))</f>
        <v>No</v>
      </c>
    </row>
    <row r="292" spans="1:14" ht="14">
      <c r="A292" s="402" t="str">
        <f>IF(TBL_008_Qs_Lot_1[[#This Row],[Type]]="Question", K293, IF(TBL_008_Qs_Lot_1[[#This Row],[Sub_No]]="N/A", "", CONCATENATE(TBL_008_Qs_Lot_1[[#This Row],[Q_No]], TBL_008_Qs_Lot_1[[#This Row],[Sub_No]])))</f>
        <v>Q5.4.1</v>
      </c>
      <c r="B292" s="402" t="s">
        <v>398</v>
      </c>
      <c r="C292" s="394"/>
      <c r="D292" s="386"/>
      <c r="E292" s="386"/>
      <c r="F292" s="403"/>
      <c r="G292" s="386" t="str">
        <f>IF(TBL_008_Qs_Lot_1[[#This Row],[Type]]="Question", IF(SQ_Weighted?="Yes", "", "N/A"), "")</f>
        <v/>
      </c>
      <c r="H29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2" s="380" t="str">
        <f t="array" ref="I29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2" s="391" t="s">
        <v>779</v>
      </c>
      <c r="K292" s="386" t="s">
        <v>1092</v>
      </c>
      <c r="L292" s="392" t="s">
        <v>1037</v>
      </c>
      <c r="M292" s="386" t="str">
        <f>IF(TBL_008_Qs_Lot_1[[#This Row],[Required?]]="No", "N/A", Int_or_SV)</f>
        <v>N/A</v>
      </c>
      <c r="N292" s="387" t="str">
        <f>IF(OR('Project Info'!$B$20="SQ", Price_split=100), "No", IF(Int_or_SV="Not applicable", "No", "Yes"))</f>
        <v>No</v>
      </c>
    </row>
    <row r="293" spans="1:14" ht="14">
      <c r="A293" s="402" t="str">
        <f>IF(TBL_008_Qs_Lot_1[[#This Row],[Type]]="Question", K294, IF(TBL_008_Qs_Lot_1[[#This Row],[Sub_No]]="N/A", "", CONCATENATE(TBL_008_Qs_Lot_1[[#This Row],[Q_No]], TBL_008_Qs_Lot_1[[#This Row],[Sub_No]])))</f>
        <v>Q5.4.2</v>
      </c>
      <c r="B293" s="402" t="s">
        <v>398</v>
      </c>
      <c r="C293" s="394"/>
      <c r="D293" s="386"/>
      <c r="E293" s="386"/>
      <c r="F293" s="403"/>
      <c r="G293" s="386" t="str">
        <f>IF(TBL_008_Qs_Lot_1[[#This Row],[Type]]="Question", IF(SQ_Weighted?="Yes", "", "N/A"), "")</f>
        <v/>
      </c>
      <c r="H29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3" s="380" t="str">
        <f t="array" ref="I29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3" s="391" t="s">
        <v>779</v>
      </c>
      <c r="K293" s="386" t="s">
        <v>1092</v>
      </c>
      <c r="L293" s="392" t="s">
        <v>1041</v>
      </c>
      <c r="M293" s="386" t="str">
        <f>IF(TBL_008_Qs_Lot_1[[#This Row],[Required?]]="No", "N/A", Int_or_SV)</f>
        <v>N/A</v>
      </c>
      <c r="N293" s="387" t="str">
        <f>IF(OR('Project Info'!$B$20="SQ", Price_split=100), "No", IF(Int_or_SV="Not applicable", "No", "Yes"))</f>
        <v>No</v>
      </c>
    </row>
    <row r="294" spans="1:14" ht="14">
      <c r="A294" s="402" t="str">
        <f>IF(TBL_008_Qs_Lot_1[[#This Row],[Type]]="Question", K295, IF(TBL_008_Qs_Lot_1[[#This Row],[Sub_No]]="N/A", "", CONCATENATE(TBL_008_Qs_Lot_1[[#This Row],[Q_No]], TBL_008_Qs_Lot_1[[#This Row],[Sub_No]])))</f>
        <v>Q5.4.3</v>
      </c>
      <c r="B294" s="402" t="s">
        <v>398</v>
      </c>
      <c r="C294" s="394"/>
      <c r="D294" s="386"/>
      <c r="E294" s="386"/>
      <c r="F294" s="403"/>
      <c r="G294" s="386" t="str">
        <f>IF(TBL_008_Qs_Lot_1[[#This Row],[Type]]="Question", IF(SQ_Weighted?="Yes", "", "N/A"), "")</f>
        <v/>
      </c>
      <c r="H29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4" s="380" t="str">
        <f t="array" ref="I29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4" s="391" t="s">
        <v>779</v>
      </c>
      <c r="K294" s="386" t="s">
        <v>1092</v>
      </c>
      <c r="L294" s="392" t="s">
        <v>1038</v>
      </c>
      <c r="M294" s="386" t="str">
        <f>IF(TBL_008_Qs_Lot_1[[#This Row],[Required?]]="No", "N/A", Int_or_SV)</f>
        <v>N/A</v>
      </c>
      <c r="N294" s="387" t="str">
        <f>IF(OR('Project Info'!$B$20="SQ", Price_split=100), "No", IF(Int_or_SV="Not applicable", "No", "Yes"))</f>
        <v>No</v>
      </c>
    </row>
    <row r="295" spans="1:14" ht="14">
      <c r="A295" s="402" t="str">
        <f>IF(TBL_008_Qs_Lot_1[[#This Row],[Type]]="Question", K296, IF(TBL_008_Qs_Lot_1[[#This Row],[Sub_No]]="N/A", "", CONCATENATE(TBL_008_Qs_Lot_1[[#This Row],[Q_No]], TBL_008_Qs_Lot_1[[#This Row],[Sub_No]])))</f>
        <v>Q5.4.4</v>
      </c>
      <c r="B295" s="402" t="s">
        <v>398</v>
      </c>
      <c r="C295" s="394"/>
      <c r="D295" s="386"/>
      <c r="E295" s="386"/>
      <c r="F295" s="403"/>
      <c r="G295" s="386" t="str">
        <f>IF(TBL_008_Qs_Lot_1[[#This Row],[Type]]="Question", IF(SQ_Weighted?="Yes", "", "N/A"), "")</f>
        <v/>
      </c>
      <c r="H29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5" s="380" t="str">
        <f t="array" ref="I29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5" s="391" t="s">
        <v>779</v>
      </c>
      <c r="K295" s="386" t="s">
        <v>1092</v>
      </c>
      <c r="L295" s="392" t="s">
        <v>1039</v>
      </c>
      <c r="M295" s="386" t="str">
        <f>IF(TBL_008_Qs_Lot_1[[#This Row],[Required?]]="No", "N/A", Int_or_SV)</f>
        <v>N/A</v>
      </c>
      <c r="N295" s="387" t="str">
        <f>IF(OR('Project Info'!$B$20="SQ", Price_split=100), "No", IF(Int_or_SV="Not applicable", "No", "Yes"))</f>
        <v>No</v>
      </c>
    </row>
    <row r="296" spans="1:14" ht="14">
      <c r="A296" s="402" t="str">
        <f>IF(TBL_008_Qs_Lot_1[[#This Row],[Type]]="Question", K297, IF(TBL_008_Qs_Lot_1[[#This Row],[Sub_No]]="N/A", "", CONCATENATE(TBL_008_Qs_Lot_1[[#This Row],[Q_No]], TBL_008_Qs_Lot_1[[#This Row],[Sub_No]])))</f>
        <v>Q5.4.5</v>
      </c>
      <c r="B296" s="402" t="s">
        <v>398</v>
      </c>
      <c r="C296" s="394"/>
      <c r="D296" s="386"/>
      <c r="E296" s="386"/>
      <c r="F296" s="403"/>
      <c r="G296" s="386" t="str">
        <f>IF(TBL_008_Qs_Lot_1[[#This Row],[Type]]="Question", IF(SQ_Weighted?="Yes", "", "N/A"), "")</f>
        <v/>
      </c>
      <c r="H29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6" s="380" t="str">
        <f t="array" ref="I29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6" s="391" t="s">
        <v>779</v>
      </c>
      <c r="K296" s="386" t="s">
        <v>1092</v>
      </c>
      <c r="L296" s="392" t="s">
        <v>1040</v>
      </c>
      <c r="M296" s="386" t="str">
        <f>IF(TBL_008_Qs_Lot_1[[#This Row],[Required?]]="No", "N/A", Int_or_SV)</f>
        <v>N/A</v>
      </c>
      <c r="N296" s="387" t="str">
        <f>IF(OR('Project Info'!$B$20="SQ", Price_split=100), "No", IF(Int_or_SV="Not applicable", "No", "Yes"))</f>
        <v>No</v>
      </c>
    </row>
    <row r="297" spans="1:14" ht="14">
      <c r="A297" s="402" t="str">
        <f>IF(TBL_008_Qs_Lot_1[[#This Row],[Type]]="Question", K298, IF(TBL_008_Qs_Lot_1[[#This Row],[Sub_No]]="N/A", "", CONCATENATE(TBL_008_Qs_Lot_1[[#This Row],[Q_No]], TBL_008_Qs_Lot_1[[#This Row],[Sub_No]])))</f>
        <v>Q5.4.6</v>
      </c>
      <c r="B297" s="402" t="s">
        <v>398</v>
      </c>
      <c r="C297" s="394"/>
      <c r="D297" s="386"/>
      <c r="E297" s="386"/>
      <c r="F297" s="403"/>
      <c r="G297" s="386" t="str">
        <f>IF(TBL_008_Qs_Lot_1[[#This Row],[Type]]="Question", IF(SQ_Weighted?="Yes", "", "N/A"), "")</f>
        <v/>
      </c>
      <c r="H29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7" s="380" t="str">
        <f t="array" ref="I29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7" s="391" t="s">
        <v>779</v>
      </c>
      <c r="K297" s="386" t="s">
        <v>1092</v>
      </c>
      <c r="L297" s="392" t="s">
        <v>1042</v>
      </c>
      <c r="M297" s="386" t="str">
        <f>IF(TBL_008_Qs_Lot_1[[#This Row],[Required?]]="No", "N/A", Int_or_SV)</f>
        <v>N/A</v>
      </c>
      <c r="N297" s="387" t="str">
        <f>IF(OR('Project Info'!$B$20="SQ", Price_split=100), "No", IF(Int_or_SV="Not applicable", "No", "Yes"))</f>
        <v>No</v>
      </c>
    </row>
    <row r="298" spans="1:14" ht="14">
      <c r="A298" s="402" t="str">
        <f>IF(TBL_008_Qs_Lot_1[[#This Row],[Type]]="Question", K299, IF(TBL_008_Qs_Lot_1[[#This Row],[Sub_No]]="N/A", "", CONCATENATE(TBL_008_Qs_Lot_1[[#This Row],[Q_No]], TBL_008_Qs_Lot_1[[#This Row],[Sub_No]])))</f>
        <v>Q5.4.7</v>
      </c>
      <c r="B298" s="402" t="s">
        <v>398</v>
      </c>
      <c r="C298" s="394"/>
      <c r="D298" s="386"/>
      <c r="E298" s="386"/>
      <c r="F298" s="403"/>
      <c r="G298" s="386" t="str">
        <f>IF(TBL_008_Qs_Lot_1[[#This Row],[Type]]="Question", IF(SQ_Weighted?="Yes", "", "N/A"), "")</f>
        <v/>
      </c>
      <c r="H29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8" s="380" t="str">
        <f t="array" ref="I29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8" s="391" t="s">
        <v>779</v>
      </c>
      <c r="K298" s="386" t="s">
        <v>1092</v>
      </c>
      <c r="L298" s="392" t="s">
        <v>1043</v>
      </c>
      <c r="M298" s="386" t="str">
        <f>IF(TBL_008_Qs_Lot_1[[#This Row],[Required?]]="No", "N/A", Int_or_SV)</f>
        <v>N/A</v>
      </c>
      <c r="N298" s="387" t="str">
        <f>IF(OR('Project Info'!$B$20="SQ", Price_split=100), "No", IF(Int_or_SV="Not applicable", "No", "Yes"))</f>
        <v>No</v>
      </c>
    </row>
    <row r="299" spans="1:14" ht="14">
      <c r="A299" s="402" t="str">
        <f>IF(TBL_008_Qs_Lot_1[[#This Row],[Type]]="Question", K300, IF(TBL_008_Qs_Lot_1[[#This Row],[Sub_No]]="N/A", "", CONCATENATE(TBL_008_Qs_Lot_1[[#This Row],[Q_No]], TBL_008_Qs_Lot_1[[#This Row],[Sub_No]])))</f>
        <v>Q5.4.8</v>
      </c>
      <c r="B299" s="402" t="s">
        <v>398</v>
      </c>
      <c r="C299" s="394"/>
      <c r="D299" s="386"/>
      <c r="E299" s="386"/>
      <c r="F299" s="403"/>
      <c r="G299" s="386" t="str">
        <f>IF(TBL_008_Qs_Lot_1[[#This Row],[Type]]="Question", IF(SQ_Weighted?="Yes", "", "N/A"), "")</f>
        <v/>
      </c>
      <c r="H29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299" s="380" t="str">
        <f t="array" ref="I29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299" s="391" t="s">
        <v>779</v>
      </c>
      <c r="K299" s="386" t="s">
        <v>1092</v>
      </c>
      <c r="L299" s="392" t="s">
        <v>1044</v>
      </c>
      <c r="M299" s="386" t="str">
        <f>IF(TBL_008_Qs_Lot_1[[#This Row],[Required?]]="No", "N/A", Int_or_SV)</f>
        <v>N/A</v>
      </c>
      <c r="N299" s="387" t="str">
        <f>IF(OR('Project Info'!$B$20="SQ", Price_split=100), "No", IF(Int_or_SV="Not applicable", "No", "Yes"))</f>
        <v>No</v>
      </c>
    </row>
    <row r="300" spans="1:14" ht="14">
      <c r="A300" s="402" t="str">
        <f>IF(TBL_008_Qs_Lot_1[[#This Row],[Type]]="Question", K301, IF(TBL_008_Qs_Lot_1[[#This Row],[Sub_No]]="N/A", "", CONCATENATE(TBL_008_Qs_Lot_1[[#This Row],[Q_No]], TBL_008_Qs_Lot_1[[#This Row],[Sub_No]])))</f>
        <v>Q5.4.9</v>
      </c>
      <c r="B300" s="402" t="s">
        <v>398</v>
      </c>
      <c r="C300" s="394"/>
      <c r="D300" s="386"/>
      <c r="E300" s="386"/>
      <c r="F300" s="403"/>
      <c r="G300" s="386" t="str">
        <f>IF(TBL_008_Qs_Lot_1[[#This Row],[Type]]="Question", IF(SQ_Weighted?="Yes", "", "N/A"), "")</f>
        <v/>
      </c>
      <c r="H30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0" s="380" t="str">
        <f t="array" ref="I30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0" s="391" t="s">
        <v>779</v>
      </c>
      <c r="K300" s="386" t="s">
        <v>1092</v>
      </c>
      <c r="L300" s="392" t="s">
        <v>1045</v>
      </c>
      <c r="M300" s="386" t="str">
        <f>IF(TBL_008_Qs_Lot_1[[#This Row],[Required?]]="No", "N/A", Int_or_SV)</f>
        <v>N/A</v>
      </c>
      <c r="N300" s="387" t="str">
        <f>IF(OR('Project Info'!$B$20="SQ", Price_split=100), "No", IF(Int_or_SV="Not applicable", "No", "Yes"))</f>
        <v>No</v>
      </c>
    </row>
    <row r="301" spans="1:14" ht="14">
      <c r="A301" s="402" t="str">
        <f>IF(TBL_008_Qs_Lot_1[[#This Row],[Type]]="Question", K302, IF(TBL_008_Qs_Lot_1[[#This Row],[Sub_No]]="N/A", "", CONCATENATE(TBL_008_Qs_Lot_1[[#This Row],[Q_No]], TBL_008_Qs_Lot_1[[#This Row],[Sub_No]])))</f>
        <v>Q5.4.10</v>
      </c>
      <c r="B301" s="402" t="s">
        <v>398</v>
      </c>
      <c r="C301" s="394"/>
      <c r="D301" s="386"/>
      <c r="E301" s="386"/>
      <c r="F301" s="403"/>
      <c r="G301" s="386" t="str">
        <f>IF(TBL_008_Qs_Lot_1[[#This Row],[Type]]="Question", IF(SQ_Weighted?="Yes", "", "N/A"), "")</f>
        <v/>
      </c>
      <c r="H30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1" s="380" t="str">
        <f t="array" ref="I30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1" s="391" t="s">
        <v>779</v>
      </c>
      <c r="K301" s="386" t="s">
        <v>1092</v>
      </c>
      <c r="L301" s="392" t="s">
        <v>1046</v>
      </c>
      <c r="M301" s="386" t="str">
        <f>IF(TBL_008_Qs_Lot_1[[#This Row],[Required?]]="No", "N/A", Int_or_SV)</f>
        <v>N/A</v>
      </c>
      <c r="N301" s="387" t="str">
        <f>IF(OR('Project Info'!$B$20="SQ", Price_split=100), "No", IF(Int_or_SV="Not applicable", "No", "Yes"))</f>
        <v>No</v>
      </c>
    </row>
    <row r="302" spans="1:14" ht="14">
      <c r="A302" s="378" t="str">
        <f>IF(TBL_008_Qs_Lot_1[[#This Row],[Type]]="Question", K303, IF(TBL_008_Qs_Lot_1[[#This Row],[Sub_No]]="N/A", "", CONCATENATE(TBL_008_Qs_Lot_1[[#This Row],[Q_No]], TBL_008_Qs_Lot_1[[#This Row],[Sub_No]])))</f>
        <v>Q5.5</v>
      </c>
      <c r="B302" s="378" t="s">
        <v>398</v>
      </c>
      <c r="C302" s="398"/>
      <c r="D302" s="401" t="s">
        <v>24</v>
      </c>
      <c r="E302" s="401" t="s">
        <v>24</v>
      </c>
      <c r="F302" s="382" t="s">
        <v>24</v>
      </c>
      <c r="G302" s="380" t="str">
        <f>IF(TBL_008_Qs_Lot_1[[#This Row],[Type]]="Question", IF(IntSV_Weighted?="Yes", "", "N/A"), "")</f>
        <v>N/A</v>
      </c>
      <c r="H302" s="379">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0</v>
      </c>
      <c r="I302" s="380">
        <f t="array" ref="I30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0</v>
      </c>
      <c r="J302" s="383" t="s">
        <v>209</v>
      </c>
      <c r="K302" s="386" t="s">
        <v>24</v>
      </c>
      <c r="L302" s="385" t="s">
        <v>24</v>
      </c>
      <c r="M302" s="386" t="str">
        <f>IF(TBL_008_Qs_Lot_1[[#This Row],[Required?]]="No", "N/A", Int_or_SV)</f>
        <v>N/A</v>
      </c>
      <c r="N302" s="387" t="str">
        <f>IF(OR('Project Info'!$B$20="SQ", Price_split=100), "No", IF(Int_or_SV="Not applicable", "No", "Yes"))</f>
        <v>No</v>
      </c>
    </row>
    <row r="303" spans="1:14" ht="14">
      <c r="A303" s="402" t="str">
        <f>IF(TBL_008_Qs_Lot_1[[#This Row],[Type]]="Question", K304, IF(TBL_008_Qs_Lot_1[[#This Row],[Sub_No]]="N/A", "", CONCATENATE(TBL_008_Qs_Lot_1[[#This Row],[Q_No]], TBL_008_Qs_Lot_1[[#This Row],[Sub_No]])))</f>
        <v>Q5.5.1</v>
      </c>
      <c r="B303" s="402" t="s">
        <v>398</v>
      </c>
      <c r="C303" s="394"/>
      <c r="D303" s="386"/>
      <c r="E303" s="386"/>
      <c r="F303" s="403"/>
      <c r="G303" s="386" t="str">
        <f>IF(TBL_008_Qs_Lot_1[[#This Row],[Type]]="Question", IF(SQ_Weighted?="Yes", "", "N/A"), "")</f>
        <v/>
      </c>
      <c r="H303"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3" s="380" t="str">
        <f t="array" ref="I303">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3" s="391" t="s">
        <v>779</v>
      </c>
      <c r="K303" s="386" t="s">
        <v>1093</v>
      </c>
      <c r="L303" s="392" t="s">
        <v>1037</v>
      </c>
      <c r="M303" s="386" t="str">
        <f>IF(TBL_008_Qs_Lot_1[[#This Row],[Required?]]="No", "N/A", Int_or_SV)</f>
        <v>N/A</v>
      </c>
      <c r="N303" s="387" t="str">
        <f>IF(OR('Project Info'!$B$20="SQ", Price_split=100), "No", IF(Int_or_SV="Not applicable", "No", "Yes"))</f>
        <v>No</v>
      </c>
    </row>
    <row r="304" spans="1:14" ht="14">
      <c r="A304" s="402" t="str">
        <f>IF(TBL_008_Qs_Lot_1[[#This Row],[Type]]="Question", K305, IF(TBL_008_Qs_Lot_1[[#This Row],[Sub_No]]="N/A", "", CONCATENATE(TBL_008_Qs_Lot_1[[#This Row],[Q_No]], TBL_008_Qs_Lot_1[[#This Row],[Sub_No]])))</f>
        <v>Q5.5.2</v>
      </c>
      <c r="B304" s="402" t="s">
        <v>398</v>
      </c>
      <c r="C304" s="394"/>
      <c r="D304" s="386"/>
      <c r="E304" s="386"/>
      <c r="F304" s="403"/>
      <c r="G304" s="386" t="str">
        <f>IF(TBL_008_Qs_Lot_1[[#This Row],[Type]]="Question", IF(SQ_Weighted?="Yes", "", "N/A"), "")</f>
        <v/>
      </c>
      <c r="H304"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4" s="380" t="str">
        <f t="array" ref="I304">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4" s="391" t="s">
        <v>779</v>
      </c>
      <c r="K304" s="386" t="s">
        <v>1093</v>
      </c>
      <c r="L304" s="392" t="s">
        <v>1041</v>
      </c>
      <c r="M304" s="386" t="str">
        <f>IF(TBL_008_Qs_Lot_1[[#This Row],[Required?]]="No", "N/A", Int_or_SV)</f>
        <v>N/A</v>
      </c>
      <c r="N304" s="387" t="str">
        <f>IF(OR('Project Info'!$B$20="SQ", Price_split=100), "No", IF(Int_or_SV="Not applicable", "No", "Yes"))</f>
        <v>No</v>
      </c>
    </row>
    <row r="305" spans="1:14" ht="14">
      <c r="A305" s="402" t="str">
        <f>IF(TBL_008_Qs_Lot_1[[#This Row],[Type]]="Question", K306, IF(TBL_008_Qs_Lot_1[[#This Row],[Sub_No]]="N/A", "", CONCATENATE(TBL_008_Qs_Lot_1[[#This Row],[Q_No]], TBL_008_Qs_Lot_1[[#This Row],[Sub_No]])))</f>
        <v>Q5.5.3</v>
      </c>
      <c r="B305" s="402" t="s">
        <v>398</v>
      </c>
      <c r="C305" s="394"/>
      <c r="D305" s="386"/>
      <c r="E305" s="386"/>
      <c r="F305" s="403"/>
      <c r="G305" s="386" t="str">
        <f>IF(TBL_008_Qs_Lot_1[[#This Row],[Type]]="Question", IF(SQ_Weighted?="Yes", "", "N/A"), "")</f>
        <v/>
      </c>
      <c r="H305"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5" s="380" t="str">
        <f t="array" ref="I305">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5" s="391" t="s">
        <v>779</v>
      </c>
      <c r="K305" s="386" t="s">
        <v>1093</v>
      </c>
      <c r="L305" s="392" t="s">
        <v>1038</v>
      </c>
      <c r="M305" s="386" t="str">
        <f>IF(TBL_008_Qs_Lot_1[[#This Row],[Required?]]="No", "N/A", Int_or_SV)</f>
        <v>N/A</v>
      </c>
      <c r="N305" s="387" t="str">
        <f>IF(OR('Project Info'!$B$20="SQ", Price_split=100), "No", IF(Int_or_SV="Not applicable", "No", "Yes"))</f>
        <v>No</v>
      </c>
    </row>
    <row r="306" spans="1:14" ht="14">
      <c r="A306" s="402" t="str">
        <f>IF(TBL_008_Qs_Lot_1[[#This Row],[Type]]="Question", K307, IF(TBL_008_Qs_Lot_1[[#This Row],[Sub_No]]="N/A", "", CONCATENATE(TBL_008_Qs_Lot_1[[#This Row],[Q_No]], TBL_008_Qs_Lot_1[[#This Row],[Sub_No]])))</f>
        <v>Q5.5.4</v>
      </c>
      <c r="B306" s="402" t="s">
        <v>398</v>
      </c>
      <c r="C306" s="394"/>
      <c r="D306" s="386"/>
      <c r="E306" s="386"/>
      <c r="F306" s="403"/>
      <c r="G306" s="386" t="str">
        <f>IF(TBL_008_Qs_Lot_1[[#This Row],[Type]]="Question", IF(SQ_Weighted?="Yes", "", "N/A"), "")</f>
        <v/>
      </c>
      <c r="H306"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6" s="380" t="str">
        <f t="array" ref="I306">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6" s="391" t="s">
        <v>779</v>
      </c>
      <c r="K306" s="386" t="s">
        <v>1093</v>
      </c>
      <c r="L306" s="392" t="s">
        <v>1039</v>
      </c>
      <c r="M306" s="386" t="str">
        <f>IF(TBL_008_Qs_Lot_1[[#This Row],[Required?]]="No", "N/A", Int_or_SV)</f>
        <v>N/A</v>
      </c>
      <c r="N306" s="387" t="str">
        <f>IF(OR('Project Info'!$B$20="SQ", Price_split=100), "No", IF(Int_or_SV="Not applicable", "No", "Yes"))</f>
        <v>No</v>
      </c>
    </row>
    <row r="307" spans="1:14" ht="14">
      <c r="A307" s="402" t="str">
        <f>IF(TBL_008_Qs_Lot_1[[#This Row],[Type]]="Question", K308, IF(TBL_008_Qs_Lot_1[[#This Row],[Sub_No]]="N/A", "", CONCATENATE(TBL_008_Qs_Lot_1[[#This Row],[Q_No]], TBL_008_Qs_Lot_1[[#This Row],[Sub_No]])))</f>
        <v>Q5.5.5</v>
      </c>
      <c r="B307" s="402" t="s">
        <v>398</v>
      </c>
      <c r="C307" s="394"/>
      <c r="D307" s="386"/>
      <c r="E307" s="386"/>
      <c r="F307" s="403"/>
      <c r="G307" s="386" t="str">
        <f>IF(TBL_008_Qs_Lot_1[[#This Row],[Type]]="Question", IF(SQ_Weighted?="Yes", "", "N/A"), "")</f>
        <v/>
      </c>
      <c r="H307"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7" s="380" t="str">
        <f t="array" ref="I307">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7" s="391" t="s">
        <v>779</v>
      </c>
      <c r="K307" s="386" t="s">
        <v>1093</v>
      </c>
      <c r="L307" s="392" t="s">
        <v>1040</v>
      </c>
      <c r="M307" s="386" t="str">
        <f>IF(TBL_008_Qs_Lot_1[[#This Row],[Required?]]="No", "N/A", Int_or_SV)</f>
        <v>N/A</v>
      </c>
      <c r="N307" s="387" t="str">
        <f>IF(OR('Project Info'!$B$20="SQ", Price_split=100), "No", IF(Int_or_SV="Not applicable", "No", "Yes"))</f>
        <v>No</v>
      </c>
    </row>
    <row r="308" spans="1:14" ht="14">
      <c r="A308" s="402" t="str">
        <f>IF(TBL_008_Qs_Lot_1[[#This Row],[Type]]="Question", K309, IF(TBL_008_Qs_Lot_1[[#This Row],[Sub_No]]="N/A", "", CONCATENATE(TBL_008_Qs_Lot_1[[#This Row],[Q_No]], TBL_008_Qs_Lot_1[[#This Row],[Sub_No]])))</f>
        <v>Q5.5.6</v>
      </c>
      <c r="B308" s="402" t="s">
        <v>398</v>
      </c>
      <c r="C308" s="394"/>
      <c r="D308" s="386"/>
      <c r="E308" s="386"/>
      <c r="F308" s="403"/>
      <c r="G308" s="386" t="str">
        <f>IF(TBL_008_Qs_Lot_1[[#This Row],[Type]]="Question", IF(SQ_Weighted?="Yes", "", "N/A"), "")</f>
        <v/>
      </c>
      <c r="H308"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8" s="380" t="str">
        <f t="array" ref="I308">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8" s="391" t="s">
        <v>779</v>
      </c>
      <c r="K308" s="386" t="s">
        <v>1093</v>
      </c>
      <c r="L308" s="392" t="s">
        <v>1042</v>
      </c>
      <c r="M308" s="386" t="str">
        <f>IF(TBL_008_Qs_Lot_1[[#This Row],[Required?]]="No", "N/A", Int_or_SV)</f>
        <v>N/A</v>
      </c>
      <c r="N308" s="387" t="str">
        <f>IF(OR('Project Info'!$B$20="SQ", Price_split=100), "No", IF(Int_or_SV="Not applicable", "No", "Yes"))</f>
        <v>No</v>
      </c>
    </row>
    <row r="309" spans="1:14" ht="14">
      <c r="A309" s="402" t="str">
        <f>IF(TBL_008_Qs_Lot_1[[#This Row],[Type]]="Question", K310, IF(TBL_008_Qs_Lot_1[[#This Row],[Sub_No]]="N/A", "", CONCATENATE(TBL_008_Qs_Lot_1[[#This Row],[Q_No]], TBL_008_Qs_Lot_1[[#This Row],[Sub_No]])))</f>
        <v>Q5.5.7</v>
      </c>
      <c r="B309" s="402" t="s">
        <v>398</v>
      </c>
      <c r="C309" s="394"/>
      <c r="D309" s="386"/>
      <c r="E309" s="386"/>
      <c r="F309" s="403"/>
      <c r="G309" s="386" t="str">
        <f>IF(TBL_008_Qs_Lot_1[[#This Row],[Type]]="Question", IF(SQ_Weighted?="Yes", "", "N/A"), "")</f>
        <v/>
      </c>
      <c r="H309"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09" s="380" t="str">
        <f t="array" ref="I309">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09" s="391" t="s">
        <v>779</v>
      </c>
      <c r="K309" s="386" t="s">
        <v>1093</v>
      </c>
      <c r="L309" s="392" t="s">
        <v>1043</v>
      </c>
      <c r="M309" s="386" t="str">
        <f>IF(TBL_008_Qs_Lot_1[[#This Row],[Required?]]="No", "N/A", Int_or_SV)</f>
        <v>N/A</v>
      </c>
      <c r="N309" s="387" t="str">
        <f>IF(OR('Project Info'!$B$20="SQ", Price_split=100), "No", IF(Int_or_SV="Not applicable", "No", "Yes"))</f>
        <v>No</v>
      </c>
    </row>
    <row r="310" spans="1:14" ht="14">
      <c r="A310" s="402" t="str">
        <f>IF(TBL_008_Qs_Lot_1[[#This Row],[Type]]="Question", K311, IF(TBL_008_Qs_Lot_1[[#This Row],[Sub_No]]="N/A", "", CONCATENATE(TBL_008_Qs_Lot_1[[#This Row],[Q_No]], TBL_008_Qs_Lot_1[[#This Row],[Sub_No]])))</f>
        <v>Q5.5.8</v>
      </c>
      <c r="B310" s="402" t="s">
        <v>398</v>
      </c>
      <c r="C310" s="394"/>
      <c r="D310" s="386"/>
      <c r="E310" s="386"/>
      <c r="F310" s="403"/>
      <c r="G310" s="386" t="str">
        <f>IF(TBL_008_Qs_Lot_1[[#This Row],[Type]]="Question", IF(SQ_Weighted?="Yes", "", "N/A"), "")</f>
        <v/>
      </c>
      <c r="H310"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10" s="380" t="str">
        <f t="array" ref="I310">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0" s="391" t="s">
        <v>779</v>
      </c>
      <c r="K310" s="386" t="s">
        <v>1093</v>
      </c>
      <c r="L310" s="392" t="s">
        <v>1044</v>
      </c>
      <c r="M310" s="386" t="str">
        <f>IF(TBL_008_Qs_Lot_1[[#This Row],[Required?]]="No", "N/A", Int_or_SV)</f>
        <v>N/A</v>
      </c>
      <c r="N310" s="387" t="str">
        <f>IF(OR('Project Info'!$B$20="SQ", Price_split=100), "No", IF(Int_or_SV="Not applicable", "No", "Yes"))</f>
        <v>No</v>
      </c>
    </row>
    <row r="311" spans="1:14" ht="14">
      <c r="A311" s="402" t="str">
        <f>IF(TBL_008_Qs_Lot_1[[#This Row],[Type]]="Question", K312, IF(TBL_008_Qs_Lot_1[[#This Row],[Sub_No]]="N/A", "", CONCATENATE(TBL_008_Qs_Lot_1[[#This Row],[Q_No]], TBL_008_Qs_Lot_1[[#This Row],[Sub_No]])))</f>
        <v>Q5.5.9</v>
      </c>
      <c r="B311" s="402" t="s">
        <v>398</v>
      </c>
      <c r="C311" s="394"/>
      <c r="D311" s="386"/>
      <c r="E311" s="386"/>
      <c r="F311" s="403"/>
      <c r="G311" s="386" t="str">
        <f>IF(TBL_008_Qs_Lot_1[[#This Row],[Type]]="Question", IF(SQ_Weighted?="Yes", "", "N/A"), "")</f>
        <v/>
      </c>
      <c r="H311"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11" s="380" t="str">
        <f t="array" ref="I311">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1" s="391" t="s">
        <v>779</v>
      </c>
      <c r="K311" s="386" t="s">
        <v>1093</v>
      </c>
      <c r="L311" s="392" t="s">
        <v>1045</v>
      </c>
      <c r="M311" s="386" t="str">
        <f>IF(TBL_008_Qs_Lot_1[[#This Row],[Required?]]="No", "N/A", Int_or_SV)</f>
        <v>N/A</v>
      </c>
      <c r="N311" s="387" t="str">
        <f>IF(OR('Project Info'!$B$20="SQ", Price_split=100), "No", IF(Int_or_SV="Not applicable", "No", "Yes"))</f>
        <v>No</v>
      </c>
    </row>
    <row r="312" spans="1:14" ht="14">
      <c r="A312" s="402" t="str">
        <f>IF(TBL_008_Qs_Lot_1[[#This Row],[Type]]="Question", K313, IF(TBL_008_Qs_Lot_1[[#This Row],[Sub_No]]="N/A", "", CONCATENATE(TBL_008_Qs_Lot_1[[#This Row],[Q_No]], TBL_008_Qs_Lot_1[[#This Row],[Sub_No]])))</f>
        <v>Q5.5.10</v>
      </c>
      <c r="B312" s="402" t="s">
        <v>398</v>
      </c>
      <c r="C312" s="394"/>
      <c r="D312" s="386"/>
      <c r="E312" s="386"/>
      <c r="F312" s="403"/>
      <c r="G312" s="386" t="str">
        <f>IF(TBL_008_Qs_Lot_1[[#This Row],[Type]]="Question", IF(SQ_Weighted?="Yes", "", "N/A"), "")</f>
        <v/>
      </c>
      <c r="H312" s="379" t="str">
        <f>IF(TBL_008_Qs_Lot_1[[#This Row],[Type]]="Question", (COUNTIF(TBL_008_Qs_Lot_1[Q_No], TBL_008_Qs_Lot_1[[#This Row],[Q.]])-COUNTIFS(TBL_008_Qs_Lot_1[Question / Sub-question], "Not used", TBL_008_Qs_Lot_1[Q_No], TBL_008_Qs_Lot_1[[#This Row],[Q.]])), IF(TBL_008_Qs_Lot_1[[#This Row],[Type]]="Overview", IF(TBL_008_Qs_Lot_1[[#This Row],[Section]]="SQ", SUMIFS(TBL_008_Qs_Lot_1[Maximum marks available], TBL_008_Qs_Lot_1[Type], "Sub-question", TBL_008_Qs_Lot_1[Section], TBL_008_Qs_Lot_1[[#This Row],[Section]])-marks, SUMIFS(TBL_008_Qs_Lot_1[Maximum marks available], TBL_008_Qs_Lot_1[Type], "Sub-question", TBL_008_Qs_Lot_1[Section], TBL_008_Qs_Lot_1[[#This Row],[Section]])), ""))</f>
        <v/>
      </c>
      <c r="I312" s="380" t="str">
        <f t="array" ref="I312">IF(AND(TBL_008_Qs_Lot_1[[#This Row],[Type]]="Overview", TBL_008_Qs_Lot_1[[#This Row],[Section]]=INDEX(TBL_003_DocMerge[PAS_or_SQ?], MATCH(1, (Job_No=TBL_003_DocMerge[Job_No])*(Doc_Lot=TBL_003_DocMerge[Lot]),0))), IF(SQ_Weighted?="Yes", 50, IF(SQ_Qs_Lot_1=1, "", SQ_Points_Lot_1/2)), IF(TBL_008_Qs_Lot_1[[#This Row],[Type]]="Question", TBL_008_Qs_Lot_1[[#This Row],[No.subs]]*marks, ""))</f>
        <v/>
      </c>
      <c r="J312" s="391" t="s">
        <v>779</v>
      </c>
      <c r="K312" s="386" t="s">
        <v>1093</v>
      </c>
      <c r="L312" s="392" t="s">
        <v>1046</v>
      </c>
      <c r="M312" s="386" t="str">
        <f>IF(TBL_008_Qs_Lot_1[[#This Row],[Required?]]="No", "N/A", Int_or_SV)</f>
        <v>N/A</v>
      </c>
      <c r="N312" s="387" t="str">
        <f>IF(OR('Project Info'!$B$20="SQ", Price_split=100), "No", IF(Int_or_SV="Not applicable", "No", "Yes"))</f>
        <v>No</v>
      </c>
    </row>
  </sheetData>
  <sheetProtection algorithmName="SHA-512" hashValue="nijnkziZTcyVvXQ3x3/+TErMja0BB0JsY79nhYoVxg8JhHlja7uzOb8P7rJC+J3UHdYSyYkppcQdrssqed8j3w==" saltValue="jKWISfQey6EapUCAGt4xwA==" spinCount="100000" sheet="1" formatRows="0" autoFilter="0"/>
  <protectedRanges>
    <protectedRange sqref="D147:G147 D158:G158 D169:G169 D180:G180 D191:G191 D202:G202 D213:G213 D224:G224 D235:G235 D246:G246 G258 G269 G280 G291 G302" name="Data_2"/>
    <protectedRange sqref="D3:F3 D36:F36 D47:G47 D58:G58 D69:G69 D80:G80 D91:G91 D102:G102 D113:G113 D124:G124 D135:G135 F14" name="Data_1"/>
    <protectedRange sqref="B147:B256 B258:B312 B3:B145" name="Questions"/>
  </protectedRanges>
  <conditionalFormatting sqref="B147:B256 B258:B312 I2 D3:G3 D36:G36 D47:G47 D58:G58 D69:G69 D80:G80 D91:G91 D102:G102 D113:G113 D124:G124 D135:G135 D147:G147 D158:G158 D169:G169 D180:G180 D191:G191 D202:G202 D213:G213 D224:G224 D235:G235 D246:G246 G258 G269 G280 G291 G302 D25:G25 D14:G14 B3:B145">
    <cfRule type="containsBlanks" dxfId="298" priority="36">
      <formula>LEN(TRIM(B2))=0</formula>
    </cfRule>
  </conditionalFormatting>
  <conditionalFormatting sqref="A2:N312">
    <cfRule type="expression" dxfId="297" priority="29">
      <formula>INDIRECT("B"&amp;ROW())="Not used"</formula>
    </cfRule>
    <cfRule type="expression" dxfId="296" priority="35">
      <formula>INDIRECT("N"&amp;ROW())="No"</formula>
    </cfRule>
  </conditionalFormatting>
  <dataValidations count="1">
    <dataValidation type="whole" operator="greaterThanOrEqual" allowBlank="1" showInputMessage="1" showErrorMessage="1" sqref="E3 E14:E25 E36 E47 E58 E69 E80 E91 E102 E113 E124 E135" xr:uid="{19E4056B-DD7A-4AE7-AC4A-8DF06F0BEB2B}">
      <formula1>1</formula1>
    </dataValidation>
  </dataValidations>
  <pageMargins left="1.1811023622047243" right="0.78740157480314965" top="1.1811023622047243" bottom="0.78740157480314965" header="0.59055118110236215" footer="0.49212598425196852"/>
  <pageSetup paperSize="9"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C8D1-32A7-493E-9C20-117BBF1A3A5A}">
  <sheetPr codeName="Sheet41"/>
  <dimension ref="A1:V92"/>
  <sheetViews>
    <sheetView topLeftCell="W1" workbookViewId="0">
      <selection activeCell="AJ19" sqref="AJ19"/>
    </sheetView>
  </sheetViews>
  <sheetFormatPr baseColWidth="10" defaultColWidth="8.6640625" defaultRowHeight="13"/>
  <cols>
    <col min="1" max="1" width="3.5" style="284" hidden="1" customWidth="1"/>
    <col min="2" max="2" width="5.83203125" style="284" hidden="1" customWidth="1"/>
    <col min="3" max="3" width="4.1640625" style="284" hidden="1" customWidth="1"/>
    <col min="4" max="4" width="6.6640625" style="424" hidden="1" customWidth="1"/>
    <col min="5" max="5" width="9.1640625" style="424" hidden="1" customWidth="1"/>
    <col min="6" max="6" width="10.1640625" style="424" hidden="1" customWidth="1"/>
    <col min="7" max="7" width="33.6640625" style="424" hidden="1" customWidth="1"/>
    <col min="8" max="8" width="4.1640625" style="424" hidden="1" customWidth="1"/>
    <col min="9" max="9" width="0" style="424" hidden="1" customWidth="1"/>
    <col min="10" max="10" width="6.6640625" style="424" hidden="1" customWidth="1"/>
    <col min="11" max="11" width="9.1640625" style="425" hidden="1" customWidth="1"/>
    <col min="12" max="12" width="10.1640625" style="425" hidden="1" customWidth="1"/>
    <col min="13" max="13" width="33.6640625" style="426" hidden="1" customWidth="1"/>
    <col min="14" max="14" width="4.1640625" style="424" hidden="1" customWidth="1"/>
    <col min="15" max="15" width="0" style="424" hidden="1" customWidth="1"/>
    <col min="16" max="16" width="6.6640625" style="424" hidden="1" customWidth="1"/>
    <col min="17" max="17" width="9.1640625" style="425" hidden="1" customWidth="1"/>
    <col min="18" max="18" width="10.1640625" style="425" hidden="1" customWidth="1"/>
    <col min="19" max="19" width="33.6640625" style="426" hidden="1" customWidth="1"/>
    <col min="20" max="20" width="8.6640625" style="284" hidden="1" customWidth="1"/>
    <col min="21" max="21" width="8.1640625" style="284" hidden="1" customWidth="1"/>
    <col min="22" max="22" width="8.6640625" style="284" hidden="1" customWidth="1"/>
    <col min="23" max="16384" width="8.6640625" style="284"/>
  </cols>
  <sheetData>
    <row r="1" spans="1:22" ht="16">
      <c r="D1" s="240" t="s">
        <v>863</v>
      </c>
      <c r="P1" s="240"/>
    </row>
    <row r="2" spans="1:22" ht="16">
      <c r="J2" s="240"/>
      <c r="P2" s="240"/>
    </row>
    <row r="3" spans="1:22" ht="16">
      <c r="D3" s="536" t="str">
        <f>IF(OR('Project Info'!$B$18="Open Procedure", 'Project Info'!$B$20="SQ"), "SQ questions", "Not applicable")</f>
        <v>SQ questions</v>
      </c>
      <c r="E3" s="536"/>
      <c r="F3" s="536"/>
      <c r="G3" s="536"/>
      <c r="J3" s="536" t="str">
        <f>IF(OR('Project Info'!$B$20="SQ", Price_split=100), "Not applicable", "Project Delivery questions")</f>
        <v>Not applicable</v>
      </c>
      <c r="K3" s="536"/>
      <c r="L3" s="536"/>
      <c r="M3" s="536"/>
      <c r="P3" s="536" t="str">
        <f>IF(OR('Project Info'!$B$20="SQ", Price_split=100, Int_or_SV="Not applicable"), "Not applicable", CONCATENATE(Int_or_SV, " questions"))</f>
        <v>Not applicable</v>
      </c>
      <c r="Q3" s="536"/>
      <c r="R3" s="536"/>
      <c r="S3" s="536"/>
    </row>
    <row r="5" spans="1:22" ht="14">
      <c r="D5" s="330" t="str">
        <f>IF(Lotted?="Yes", "Lot 1:", "")</f>
        <v>Lot 1:</v>
      </c>
      <c r="E5" s="329" t="str">
        <f>IF(Lotted?="Yes", TBL_003_DocMerge[Lot_1_Name], "[Remove this row]")</f>
        <v>Electrics</v>
      </c>
      <c r="F5" s="320"/>
      <c r="G5" s="319"/>
      <c r="J5" s="330" t="str">
        <f>IF(Lotted?="Yes", "Lot 1:", "")</f>
        <v>Lot 1:</v>
      </c>
      <c r="K5" s="329" t="str">
        <f>IF(Lotted?="Yes", TBL_003_DocMerge[Lot_1_Name], "[Remove this row]")</f>
        <v>Electrics</v>
      </c>
      <c r="L5" s="320"/>
      <c r="M5" s="319"/>
      <c r="P5" s="330" t="str">
        <f>IF(Lotted?="Yes", "Lot 1:", "")</f>
        <v>Lot 1:</v>
      </c>
      <c r="Q5" s="329" t="str">
        <f>IF(Lotted?="Yes", TBL_003_DocMerge[Lot_1_Name], "[Remove this row]")</f>
        <v>Electrics</v>
      </c>
      <c r="R5" s="320"/>
      <c r="S5" s="319"/>
      <c r="T5" s="284" t="str">
        <f>IF(OR('Project Info'!$B$18="Open Procedure", 'Project Info'!$B$20="SQ"), "", "Shade")</f>
        <v/>
      </c>
      <c r="U5" s="284" t="str">
        <f>IF(OR('Project Info'!$B$20="SQ", Price_split=100), "Shade", "")</f>
        <v>Shade</v>
      </c>
      <c r="V5" s="284" t="str">
        <f>IF(OR('Project Info'!$B$20="SQ", Price_split=100, Int_or_SV="Not applicable"), "Shade", "")</f>
        <v>Shade</v>
      </c>
    </row>
    <row r="6" spans="1:22" ht="28">
      <c r="A6" s="354" t="s">
        <v>928</v>
      </c>
      <c r="B6" s="354" t="s">
        <v>1135</v>
      </c>
      <c r="C6" s="354" t="s">
        <v>1134</v>
      </c>
      <c r="D6" s="321" t="s">
        <v>864</v>
      </c>
      <c r="E6" s="322" t="s">
        <v>865</v>
      </c>
      <c r="F6" s="322" t="s">
        <v>862</v>
      </c>
      <c r="G6" s="323" t="s">
        <v>866</v>
      </c>
      <c r="J6" s="321" t="s">
        <v>864</v>
      </c>
      <c r="K6" s="322" t="s">
        <v>865</v>
      </c>
      <c r="L6" s="322" t="s">
        <v>862</v>
      </c>
      <c r="M6" s="323" t="s">
        <v>866</v>
      </c>
      <c r="P6" s="321" t="s">
        <v>864</v>
      </c>
      <c r="Q6" s="322" t="s">
        <v>865</v>
      </c>
      <c r="R6" s="322" t="s">
        <v>862</v>
      </c>
      <c r="S6" s="323" t="s">
        <v>866</v>
      </c>
      <c r="T6" s="284" t="str">
        <f>IF(OR('Project Info'!$B$18="Open Procedure", 'Project Info'!$B$20="SQ"), "", "Shade")</f>
        <v/>
      </c>
      <c r="U6" s="284" t="str">
        <f>IF(OR('Project Info'!$B$20="SQ", Price_split=100), "Shade", "")</f>
        <v>Shade</v>
      </c>
      <c r="V6" s="284" t="str">
        <f>IF(OR('Project Info'!$B$20="SQ", Price_split=100, Int_or_SV="Not applicable"), "Shade", "")</f>
        <v>Shade</v>
      </c>
    </row>
    <row r="7" spans="1:22" ht="14">
      <c r="A7" s="284">
        <v>1</v>
      </c>
      <c r="B7" s="284">
        <v>1</v>
      </c>
      <c r="C7" s="284">
        <f t="array" ref="C7">IF(INDEX(TBL_003_DocMerge[PAS_or_SQ?], MATCH(1, (Job_No=TBL_003_DocMerge[Job_No])*(Doc_Lot=TBL_003_DocMerge[Lot]),0))="SQ", A7, B7)</f>
        <v>1</v>
      </c>
      <c r="D7" s="427" t="s">
        <v>649</v>
      </c>
      <c r="E7" s="428">
        <f t="array" ref="E7">IF(AND(INDEX(TBL_003_DocMerge[PAS_or_SQ?], MATCH(1, (Job_No=TBL_003_DocMerge[Job_No])*(Doc_Lot=TBL_003_DocMerge[Lot]),0))="SQ", D7="Q6.2"), "N/A", IF(SQ_Qs_Lot_1&gt;=$C7, INDEX(TBL_008_Qs_Lot_1[Max score], MATCH(1, (SUBSTITUTE($D7, "*", "")=TBL_008_Qs_Lot_1[Q.])*("Question"=TBL_008_Qs_Lot_1[Type]),0)), "N/A"))</f>
        <v>15</v>
      </c>
      <c r="F7" s="428" t="str">
        <f t="array" ref="F7">IF(OR(SQ_Weighted?="No", $E7="N/A", $E7=0), "N/A", INDEX(TBL_008_Qs_Lot_1[Weighting], MATCH(1, (SUBSTITUTE($D7, "*", "")=TBL_008_Qs_Lot_1[Q.])*("Question"=TBL_008_Qs_Lot_1[Type]),0)))</f>
        <v>N/A</v>
      </c>
      <c r="G7" s="429" t="str">
        <f t="shared" ref="G7:G19" si="0">IF(F7="N/A", "Question not used", CONCATENATE("([Marks awarded for ", SUBSTITUTE(D7, "*", ""), "] / ", E7, ".00) x ", F7, ".00"))</f>
        <v>Question not used</v>
      </c>
      <c r="I7" s="424">
        <v>1</v>
      </c>
      <c r="J7" s="430" t="s">
        <v>1079</v>
      </c>
      <c r="K7" s="428" t="str">
        <f t="array" ref="K7">IF(Tech_Qs_Lot_1&gt;=I7, INDEX(TBL_008_Qs_Lot_1[Max score], MATCH(1, (J7=TBL_008_Qs_Lot_1[Q.])*("Question"=TBL_008_Qs_Lot_1[Type]),0)), "N/A")</f>
        <v>N/A</v>
      </c>
      <c r="L7" s="428" t="str">
        <f t="array" ref="L7">IF(OR(Tech_Weighted?="No", K7="N/A", K7=0), "N/A", INDEX(TBL_008_Qs_Lot_1[Weighting], MATCH(1, (J7=TBL_008_Qs_Lot_1[Q.])*("Question"=TBL_008_Qs_Lot_1[Type]),0)))</f>
        <v>N/A</v>
      </c>
      <c r="M7" s="429" t="str">
        <f t="shared" ref="M7:M16" si="1">IF(L7="N/A", "Question not used", CONCATENATE("([Marks awarded for ", J7, "] / ", K7, ".00) x ", L7, ".00"))</f>
        <v>Question not used</v>
      </c>
      <c r="O7" s="424">
        <v>1</v>
      </c>
      <c r="P7" s="427" t="s">
        <v>1089</v>
      </c>
      <c r="Q7" s="428" t="str">
        <f t="array" ref="Q7">IF(Int_or_SV="Not applicable", "N/A", IF(IntSV_Qs_Lot_1&gt;=O7, INDEX(TBL_008_Qs_Lot_1[Max score], MATCH(1, (P7=TBL_008_Qs_Lot_1[Q.])*("Question"=TBL_008_Qs_Lot_1[Type]),0)), "N/A"))</f>
        <v>N/A</v>
      </c>
      <c r="R7" s="428" t="str">
        <f t="array" ref="R7">IF(OR(Int_or_SV="Not applicable", IntSV_Weighted?="No", Q7="N/A", Q7=0), "N/A", INDEX(TBL_008_Qs_Lot_1[Weighting], MATCH(1, (P7=TBL_008_Qs_Lot_1[Q.])*("Question"=TBL_008_Qs_Lot_1[Type]),0)))</f>
        <v>N/A</v>
      </c>
      <c r="S7" s="429" t="str">
        <f>IF(R7="N/A", "Question not used", CONCATENATE("([Marks awarded for ", P7, "] / ", Q7, ".00) x ", R7, ".00"))</f>
        <v>Question not used</v>
      </c>
      <c r="T7" s="284" t="str">
        <f>IF(OR('Project Info'!$B$18="Open Procedure", 'Project Info'!$B$20="SQ"), "", "Shade")</f>
        <v/>
      </c>
      <c r="U7" s="284" t="str">
        <f>IF(OR('Project Info'!$B$20="SQ", Price_split=100), "Shade", "")</f>
        <v>Shade</v>
      </c>
      <c r="V7" s="284" t="str">
        <f>IF(OR('Project Info'!$B$20="SQ", Price_split=100, Int_or_SV="Not applicable"), "Shade", "")</f>
        <v>Shade</v>
      </c>
    </row>
    <row r="8" spans="1:22" ht="14">
      <c r="A8" s="284">
        <v>1</v>
      </c>
      <c r="B8" s="284">
        <v>2</v>
      </c>
      <c r="C8" s="284">
        <f t="array" ref="C8">IF(INDEX(TBL_003_DocMerge[PAS_or_SQ?], MATCH(1, (Job_No=TBL_003_DocMerge[Job_No])*(Doc_Lot=TBL_003_DocMerge[Lot]),0))="SQ", A8, B8)</f>
        <v>1</v>
      </c>
      <c r="D8" s="427" t="s">
        <v>653</v>
      </c>
      <c r="E8" s="428" t="str">
        <f t="array" ref="E8">IF(AND(INDEX(TBL_003_DocMerge[PAS_or_SQ?], MATCH(1, (Job_No=TBL_003_DocMerge[Job_No])*(Doc_Lot=TBL_003_DocMerge[Lot]),0))="SQ", D8="Q6.2"), "N/A", IF(SQ_Qs_Lot_1&gt;=$C8, INDEX(TBL_008_Qs_Lot_1[Max score], MATCH(1, (SUBSTITUTE($D8, "*", "")=TBL_008_Qs_Lot_1[Q.])*("Question"=TBL_008_Qs_Lot_1[Type]),0)), "N/A"))</f>
        <v>N/A</v>
      </c>
      <c r="F8" s="428" t="str">
        <f t="array" ref="F8">IF(OR(SQ_Weighted?="No", $E8="N/A", $E8=0), "N/A", INDEX(TBL_008_Qs_Lot_1[Weighting], MATCH(1, (SUBSTITUTE($D8, "*", "")=TBL_008_Qs_Lot_1[Q.])*("Question"=TBL_008_Qs_Lot_1[Type]),0)))</f>
        <v>N/A</v>
      </c>
      <c r="G8" s="429" t="str">
        <f t="shared" si="0"/>
        <v>Question not used</v>
      </c>
      <c r="I8" s="424">
        <v>2</v>
      </c>
      <c r="J8" s="427" t="s">
        <v>1080</v>
      </c>
      <c r="K8" s="428" t="str">
        <f t="array" ref="K8">IF(Tech_Qs_Lot_1&gt;=I8, INDEX(TBL_008_Qs_Lot_1[Max score], MATCH(1, (J8=TBL_008_Qs_Lot_1[Q.])*("Question"=TBL_008_Qs_Lot_1[Type]),0)), "N/A")</f>
        <v>N/A</v>
      </c>
      <c r="L8" s="428" t="str">
        <f t="array" ref="L8">IF(OR(Tech_Weighted?="No", K8="N/A", K8=0), "N/A", INDEX(TBL_008_Qs_Lot_1[Weighting], MATCH(1, (J8=TBL_008_Qs_Lot_1[Q.])*("Question"=TBL_008_Qs_Lot_1[Type]),0)))</f>
        <v>N/A</v>
      </c>
      <c r="M8" s="429" t="str">
        <f t="shared" si="1"/>
        <v>Question not used</v>
      </c>
      <c r="O8" s="424">
        <v>2</v>
      </c>
      <c r="P8" s="427" t="s">
        <v>1090</v>
      </c>
      <c r="Q8" s="428" t="str">
        <f t="array" ref="Q8">IF(Int_or_SV="Not applicable", "N/A", IF(IntSV_Qs_Lot_1&gt;=O8, INDEX(TBL_008_Qs_Lot_1[Max score], MATCH(1, (P8=TBL_008_Qs_Lot_1[Q.])*("Question"=TBL_008_Qs_Lot_1[Type]),0)), "N/A"))</f>
        <v>N/A</v>
      </c>
      <c r="R8" s="428" t="str">
        <f t="array" ref="R8">IF(OR(Int_or_SV="Not applicable", IntSV_Weighted?="No", Q8="N/A", Q8=0), "N/A", INDEX(TBL_008_Qs_Lot_1[Weighting], MATCH(1, (P8=TBL_008_Qs_Lot_1[Q.])*("Question"=TBL_008_Qs_Lot_1[Type]),0)))</f>
        <v>N/A</v>
      </c>
      <c r="S8" s="429" t="str">
        <f>IF(R8="N/A", "Question not used", CONCATENATE("([Marks awarded for ", P8, "] / ", Q8, ".00) x ", R8, ".00"))</f>
        <v>Question not used</v>
      </c>
      <c r="T8" s="284" t="str">
        <f>IF(OR('Project Info'!$B$18="Open Procedure", 'Project Info'!$B$20="SQ"), "", "Shade")</f>
        <v/>
      </c>
      <c r="U8" s="284" t="str">
        <f>IF(OR('Project Info'!$B$20="SQ", Price_split=100), "Shade", "")</f>
        <v>Shade</v>
      </c>
      <c r="V8" s="284" t="str">
        <f>IF(OR('Project Info'!$B$20="SQ", Price_split=100, Int_or_SV="Not applicable"), "Shade", "")</f>
        <v>Shade</v>
      </c>
    </row>
    <row r="9" spans="1:22" ht="14">
      <c r="A9" s="284">
        <v>1</v>
      </c>
      <c r="B9" s="284">
        <v>3</v>
      </c>
      <c r="C9" s="284">
        <f t="array" ref="C9">IF(INDEX(TBL_003_DocMerge[PAS_or_SQ?], MATCH(1, (Job_No=TBL_003_DocMerge[Job_No])*(Doc_Lot=TBL_003_DocMerge[Lot]),0))="SQ", A9, B9)</f>
        <v>1</v>
      </c>
      <c r="D9" s="367" t="str">
        <f t="array" ref="D9">IF(INDEX(TBL_003_DocMerge[PAS_or_SQ?], MATCH(1, (Job_No=TBL_003_DocMerge[Job_No])*(Doc_Lot=TBL_003_DocMerge[Lot]),0))="SQ", "Q6.3*", "Q6.3")</f>
        <v>Q6.3*</v>
      </c>
      <c r="E9" s="428">
        <f t="array" ref="E9">IF(AND(INDEX(TBL_003_DocMerge[PAS_or_SQ?], MATCH(1, (Job_No=TBL_003_DocMerge[Job_No])*(Doc_Lot=TBL_003_DocMerge[Lot]),0))="SQ", D9="Q6.2"), "N/A", IF(SQ_Qs_Lot_1&gt;=$C9, INDEX(TBL_008_Qs_Lot_1[Max score], MATCH(1, (SUBSTITUTE($D9, "*", "")=TBL_008_Qs_Lot_1[Q.])*("Question"=TBL_008_Qs_Lot_1[Type]),0)), "N/A"))</f>
        <v>5</v>
      </c>
      <c r="F9" s="428" t="str">
        <f t="array" ref="F9">IF(OR(SQ_Weighted?="No", $E9="N/A", $E9=0), "N/A", INDEX(TBL_008_Qs_Lot_1[Weighting], MATCH(1, (SUBSTITUTE($D9, "*", "")=TBL_008_Qs_Lot_1[Q.])*("Question"=TBL_008_Qs_Lot_1[Type]),0)))</f>
        <v>N/A</v>
      </c>
      <c r="G9" s="429" t="str">
        <f t="shared" si="0"/>
        <v>Question not used</v>
      </c>
      <c r="I9" s="424">
        <v>3</v>
      </c>
      <c r="J9" s="427" t="s">
        <v>1081</v>
      </c>
      <c r="K9" s="428" t="str">
        <f t="array" ref="K9">IF(Tech_Qs_Lot_1&gt;=I9, INDEX(TBL_008_Qs_Lot_1[Max score], MATCH(1, (J9=TBL_008_Qs_Lot_1[Q.])*("Question"=TBL_008_Qs_Lot_1[Type]),0)), "N/A")</f>
        <v>N/A</v>
      </c>
      <c r="L9" s="428" t="str">
        <f t="array" ref="L9">IF(OR(Tech_Weighted?="No", K9="N/A", K9=0), "N/A", INDEX(TBL_008_Qs_Lot_1[Weighting], MATCH(1, (J9=TBL_008_Qs_Lot_1[Q.])*("Question"=TBL_008_Qs_Lot_1[Type]),0)))</f>
        <v>N/A</v>
      </c>
      <c r="M9" s="429" t="str">
        <f t="shared" si="1"/>
        <v>Question not used</v>
      </c>
      <c r="O9" s="424">
        <v>3</v>
      </c>
      <c r="P9" s="427" t="s">
        <v>1091</v>
      </c>
      <c r="Q9" s="428" t="str">
        <f t="array" ref="Q9">IF(Int_or_SV="Not applicable", "N/A", IF(IntSV_Qs_Lot_1&gt;=O9, INDEX(TBL_008_Qs_Lot_1[Max score], MATCH(1, (P9=TBL_008_Qs_Lot_1[Q.])*("Question"=TBL_008_Qs_Lot_1[Type]),0)), "N/A"))</f>
        <v>N/A</v>
      </c>
      <c r="R9" s="428" t="str">
        <f t="array" ref="R9">IF(OR(Int_or_SV="Not applicable", IntSV_Weighted?="No", Q9="N/A", Q9=0), "N/A", INDEX(TBL_008_Qs_Lot_1[Weighting], MATCH(1, (P9=TBL_008_Qs_Lot_1[Q.])*("Question"=TBL_008_Qs_Lot_1[Type]),0)))</f>
        <v>N/A</v>
      </c>
      <c r="S9" s="429" t="str">
        <f>IF(R9="N/A", "Question not used", CONCATENATE("([Marks awarded for ", P9, "] / ", Q9, ".00) x ", R9, ".00"))</f>
        <v>Question not used</v>
      </c>
      <c r="T9" s="284" t="str">
        <f>IF(OR('Project Info'!$B$18="Open Procedure", 'Project Info'!$B$20="SQ"), "", "Shade")</f>
        <v/>
      </c>
      <c r="U9" s="284" t="str">
        <f>IF(OR('Project Info'!$B$20="SQ", Price_split=100), "Shade", "")</f>
        <v>Shade</v>
      </c>
      <c r="V9" s="284" t="str">
        <f>IF(OR('Project Info'!$B$20="SQ", Price_split=100, Int_or_SV="Not applicable"), "Shade", "")</f>
        <v>Shade</v>
      </c>
    </row>
    <row r="10" spans="1:22" ht="14">
      <c r="A10" s="284">
        <v>2</v>
      </c>
      <c r="B10" s="284">
        <v>4</v>
      </c>
      <c r="C10" s="284">
        <f t="array" ref="C10">IF(INDEX(TBL_003_DocMerge[PAS_or_SQ?], MATCH(1, (Job_No=TBL_003_DocMerge[Job_No])*(Doc_Lot=TBL_003_DocMerge[Lot]),0))="SQ", A10, B10)</f>
        <v>2</v>
      </c>
      <c r="D10" s="427" t="s">
        <v>399</v>
      </c>
      <c r="E10" s="428" t="str">
        <f t="array" ref="E10">IF(AND(INDEX(TBL_003_DocMerge[PAS_or_SQ?], MATCH(1, (Job_No=TBL_003_DocMerge[Job_No])*(Doc_Lot=TBL_003_DocMerge[Lot]),0))="SQ", D10="Q6.2"), "N/A", IF(SQ_Qs_Lot_1&gt;=$C10, INDEX(TBL_008_Qs_Lot_1[Max score], MATCH(1, (SUBSTITUTE($D10, "*", "")=TBL_008_Qs_Lot_1[Q.])*("Question"=TBL_008_Qs_Lot_1[Type]),0)), "N/A"))</f>
        <v>N/A</v>
      </c>
      <c r="F10" s="428" t="str">
        <f t="array" ref="F10">IF(OR(SQ_Weighted?="No", $E10="N/A", $E10=0), "N/A", INDEX(TBL_008_Qs_Lot_1[Weighting], MATCH(1, (SUBSTITUTE($D10, "*", "")=TBL_008_Qs_Lot_1[Q.])*("Question"=TBL_008_Qs_Lot_1[Type]),0)))</f>
        <v>N/A</v>
      </c>
      <c r="G10" s="429" t="str">
        <f t="shared" si="0"/>
        <v>Question not used</v>
      </c>
      <c r="I10" s="424">
        <v>4</v>
      </c>
      <c r="J10" s="427" t="s">
        <v>1082</v>
      </c>
      <c r="K10" s="428" t="str">
        <f t="array" ref="K10">IF(Tech_Qs_Lot_1&gt;=I10, INDEX(TBL_008_Qs_Lot_1[Max score], MATCH(1, (J10=TBL_008_Qs_Lot_1[Q.])*("Question"=TBL_008_Qs_Lot_1[Type]),0)), "N/A")</f>
        <v>N/A</v>
      </c>
      <c r="L10" s="428" t="str">
        <f t="array" ref="L10">IF(OR(Tech_Weighted?="No", K10="N/A", K10=0), "N/A", INDEX(TBL_008_Qs_Lot_1[Weighting], MATCH(1, (J10=TBL_008_Qs_Lot_1[Q.])*("Question"=TBL_008_Qs_Lot_1[Type]),0)))</f>
        <v>N/A</v>
      </c>
      <c r="M10" s="429" t="str">
        <f t="shared" si="1"/>
        <v>Question not used</v>
      </c>
      <c r="O10" s="424">
        <v>4</v>
      </c>
      <c r="P10" s="427" t="s">
        <v>1092</v>
      </c>
      <c r="Q10" s="428" t="str">
        <f t="array" ref="Q10">IF(Int_or_SV="Not applicable", "N/A", IF(IntSV_Qs_Lot_1&gt;=O10, INDEX(TBL_008_Qs_Lot_1[Max score], MATCH(1, (P10=TBL_008_Qs_Lot_1[Q.])*("Question"=TBL_008_Qs_Lot_1[Type]),0)), "N/A"))</f>
        <v>N/A</v>
      </c>
      <c r="R10" s="428" t="str">
        <f t="array" ref="R10">IF(OR(Int_or_SV="Not applicable", IntSV_Weighted?="No", Q10="N/A", Q10=0), "N/A", INDEX(TBL_008_Qs_Lot_1[Weighting], MATCH(1, (P10=TBL_008_Qs_Lot_1[Q.])*("Question"=TBL_008_Qs_Lot_1[Type]),0)))</f>
        <v>N/A</v>
      </c>
      <c r="S10" s="429" t="str">
        <f>IF(R10="N/A", "Question not used", CONCATENATE("([Marks awarded for ", P10, "] / ", Q10, ".00) x ", R10, ".00"))</f>
        <v>Question not used</v>
      </c>
      <c r="T10" s="284" t="str">
        <f>IF(OR('Project Info'!$B$18="Open Procedure", 'Project Info'!$B$20="SQ"), "", "Shade")</f>
        <v/>
      </c>
      <c r="U10" s="284" t="str">
        <f>IF(OR('Project Info'!$B$20="SQ", Price_split=100), "Shade", "")</f>
        <v>Shade</v>
      </c>
      <c r="V10" s="284" t="str">
        <f>IF(OR('Project Info'!$B$20="SQ", Price_split=100, Int_or_SV="Not applicable"), "Shade", "")</f>
        <v>Shade</v>
      </c>
    </row>
    <row r="11" spans="1:22" ht="14">
      <c r="A11" s="284">
        <v>3</v>
      </c>
      <c r="B11" s="284">
        <v>5</v>
      </c>
      <c r="C11" s="284">
        <f t="array" ref="C11">IF(INDEX(TBL_003_DocMerge[PAS_or_SQ?], MATCH(1, (Job_No=TBL_003_DocMerge[Job_No])*(Doc_Lot=TBL_003_DocMerge[Lot]),0))="SQ", A11, B11)</f>
        <v>3</v>
      </c>
      <c r="D11" s="427" t="s">
        <v>410</v>
      </c>
      <c r="E11" s="428" t="str">
        <f t="array" ref="E11">IF(AND(INDEX(TBL_003_DocMerge[PAS_or_SQ?], MATCH(1, (Job_No=TBL_003_DocMerge[Job_No])*(Doc_Lot=TBL_003_DocMerge[Lot]),0))="SQ", D11="Q6.2"), "N/A", IF(SQ_Qs_Lot_1&gt;=$C11, INDEX(TBL_008_Qs_Lot_1[Max score], MATCH(1, (SUBSTITUTE($D11, "*", "")=TBL_008_Qs_Lot_1[Q.])*("Question"=TBL_008_Qs_Lot_1[Type]),0)), "N/A"))</f>
        <v>N/A</v>
      </c>
      <c r="F11" s="428" t="str">
        <f t="array" ref="F11">IF(OR(SQ_Weighted?="No", $E11="N/A", $E11=0), "N/A", INDEX(TBL_008_Qs_Lot_1[Weighting], MATCH(1, (SUBSTITUTE($D11, "*", "")=TBL_008_Qs_Lot_1[Q.])*("Question"=TBL_008_Qs_Lot_1[Type]),0)))</f>
        <v>N/A</v>
      </c>
      <c r="G11" s="429" t="str">
        <f t="shared" si="0"/>
        <v>Question not used</v>
      </c>
      <c r="I11" s="424">
        <v>5</v>
      </c>
      <c r="J11" s="427" t="s">
        <v>1083</v>
      </c>
      <c r="K11" s="428" t="str">
        <f t="array" ref="K11">IF(Tech_Qs_Lot_1&gt;=I11, INDEX(TBL_008_Qs_Lot_1[Max score], MATCH(1, (J11=TBL_008_Qs_Lot_1[Q.])*("Question"=TBL_008_Qs_Lot_1[Type]),0)), "N/A")</f>
        <v>N/A</v>
      </c>
      <c r="L11" s="428" t="str">
        <f t="array" ref="L11">IF(OR(Tech_Weighted?="No", K11="N/A", K11=0), "N/A", INDEX(TBL_008_Qs_Lot_1[Weighting], MATCH(1, (J11=TBL_008_Qs_Lot_1[Q.])*("Question"=TBL_008_Qs_Lot_1[Type]),0)))</f>
        <v>N/A</v>
      </c>
      <c r="M11" s="429" t="str">
        <f t="shared" si="1"/>
        <v>Question not used</v>
      </c>
      <c r="O11" s="424">
        <v>5</v>
      </c>
      <c r="P11" s="427" t="s">
        <v>1093</v>
      </c>
      <c r="Q11" s="428" t="str">
        <f t="array" ref="Q11">IF(Int_or_SV="Not applicable", "N/A", IF(IntSV_Qs_Lot_1&gt;=O11, INDEX(TBL_008_Qs_Lot_1[Max score], MATCH(1, (P11=TBL_008_Qs_Lot_1[Q.])*("Question"=TBL_008_Qs_Lot_1[Type]),0)), "N/A"))</f>
        <v>N/A</v>
      </c>
      <c r="R11" s="428" t="str">
        <f t="array" ref="R11">IF(OR(Int_or_SV="Not applicable", IntSV_Weighted?="No", Q11="N/A", Q11=0), "N/A", INDEX(TBL_008_Qs_Lot_1[Weighting], MATCH(1, (P11=TBL_008_Qs_Lot_1[Q.])*("Question"=TBL_008_Qs_Lot_1[Type]),0)))</f>
        <v>N/A</v>
      </c>
      <c r="S11" s="429" t="str">
        <f>IF(R11="N/A", "Question not used", CONCATENATE("([Marks awarded for ", P11, "] / ", Q11, ".00) x ", R11, ".00"))</f>
        <v>Question not used</v>
      </c>
      <c r="T11" s="284" t="str">
        <f>IF(OR('Project Info'!$B$18="Open Procedure", 'Project Info'!$B$20="SQ"), "", "Shade")</f>
        <v/>
      </c>
      <c r="U11" s="284" t="str">
        <f>IF(OR('Project Info'!$B$20="SQ", Price_split=100), "Shade", "")</f>
        <v>Shade</v>
      </c>
      <c r="V11" s="284" t="str">
        <f>IF(OR('Project Info'!$B$20="SQ", Price_split=100, Int_or_SV="Not applicable"), "Shade", "")</f>
        <v>Shade</v>
      </c>
    </row>
    <row r="12" spans="1:22" ht="14">
      <c r="A12" s="284">
        <v>4</v>
      </c>
      <c r="B12" s="284">
        <v>6</v>
      </c>
      <c r="C12" s="284">
        <f t="array" ref="C12">IF(INDEX(TBL_003_DocMerge[PAS_or_SQ?], MATCH(1, (Job_No=TBL_003_DocMerge[Job_No])*(Doc_Lot=TBL_003_DocMerge[Lot]),0))="SQ", A12, B12)</f>
        <v>4</v>
      </c>
      <c r="D12" s="427" t="s">
        <v>421</v>
      </c>
      <c r="E12" s="428" t="str">
        <f t="array" ref="E12">IF(AND(INDEX(TBL_003_DocMerge[PAS_or_SQ?], MATCH(1, (Job_No=TBL_003_DocMerge[Job_No])*(Doc_Lot=TBL_003_DocMerge[Lot]),0))="SQ", D12="Q6.2"), "N/A", IF(SQ_Qs_Lot_1&gt;=$C12, INDEX(TBL_008_Qs_Lot_1[Max score], MATCH(1, (SUBSTITUTE($D12, "*", "")=TBL_008_Qs_Lot_1[Q.])*("Question"=TBL_008_Qs_Lot_1[Type]),0)), "N/A"))</f>
        <v>N/A</v>
      </c>
      <c r="F12" s="428" t="str">
        <f t="array" ref="F12">IF(OR(SQ_Weighted?="No", $E12="N/A", $E12=0), "N/A", INDEX(TBL_008_Qs_Lot_1[Weighting], MATCH(1, (SUBSTITUTE($D12, "*", "")=TBL_008_Qs_Lot_1[Q.])*("Question"=TBL_008_Qs_Lot_1[Type]),0)))</f>
        <v>N/A</v>
      </c>
      <c r="G12" s="429" t="str">
        <f t="shared" si="0"/>
        <v>Question not used</v>
      </c>
      <c r="I12" s="424">
        <v>6</v>
      </c>
      <c r="J12" s="427" t="s">
        <v>1084</v>
      </c>
      <c r="K12" s="428" t="str">
        <f t="array" ref="K12">IF(Tech_Qs_Lot_1&gt;=I12, INDEX(TBL_008_Qs_Lot_1[Max score], MATCH(1, (J12=TBL_008_Qs_Lot_1[Q.])*("Question"=TBL_008_Qs_Lot_1[Type]),0)), "N/A")</f>
        <v>N/A</v>
      </c>
      <c r="L12" s="428" t="str">
        <f t="array" ref="L12">IF(OR(Tech_Weighted?="No", K12="N/A", K12=0), "N/A", INDEX(TBL_008_Qs_Lot_1[Weighting], MATCH(1, (J12=TBL_008_Qs_Lot_1[Q.])*("Question"=TBL_008_Qs_Lot_1[Type]),0)))</f>
        <v>N/A</v>
      </c>
      <c r="M12" s="429" t="str">
        <f t="shared" si="1"/>
        <v>Question not used</v>
      </c>
      <c r="P12" s="327" t="str">
        <f>IF(IntSV_Weighted?="Yes", "", "Total:")</f>
        <v>Total:</v>
      </c>
      <c r="Q12" s="431">
        <f>IF(IntSV_Weighted?="Yes", "Total:", SUM(Q7:Q11))</f>
        <v>0</v>
      </c>
      <c r="R12" s="324">
        <f>IF(SUM(R7:R11)=IntSV_Weighting, SUM(R7:R11), "Error!")</f>
        <v>0</v>
      </c>
      <c r="S12" s="325" t="s">
        <v>868</v>
      </c>
      <c r="T12" s="284" t="str">
        <f>IF(OR('Project Info'!$B$18="Open Procedure", 'Project Info'!$B$20="SQ"), "", "Shade")</f>
        <v/>
      </c>
      <c r="U12" s="284" t="str">
        <f>IF(OR('Project Info'!$B$20="SQ", Price_split=100), "Shade", "")</f>
        <v>Shade</v>
      </c>
      <c r="V12" s="284" t="str">
        <f>IF(OR('Project Info'!$B$20="SQ", Price_split=100, Int_or_SV="Not applicable"), "Shade", "")</f>
        <v>Shade</v>
      </c>
    </row>
    <row r="13" spans="1:22" ht="14">
      <c r="A13" s="284">
        <v>5</v>
      </c>
      <c r="B13" s="284">
        <v>7</v>
      </c>
      <c r="C13" s="284">
        <f t="array" ref="C13">IF(INDEX(TBL_003_DocMerge[PAS_or_SQ?], MATCH(1, (Job_No=TBL_003_DocMerge[Job_No])*(Doc_Lot=TBL_003_DocMerge[Lot]),0))="SQ", A13, B13)</f>
        <v>5</v>
      </c>
      <c r="D13" s="427" t="s">
        <v>430</v>
      </c>
      <c r="E13" s="428" t="str">
        <f t="array" ref="E13">IF(AND(INDEX(TBL_003_DocMerge[PAS_or_SQ?], MATCH(1, (Job_No=TBL_003_DocMerge[Job_No])*(Doc_Lot=TBL_003_DocMerge[Lot]),0))="SQ", D13="Q6.2"), "N/A", IF(SQ_Qs_Lot_1&gt;=$C13, INDEX(TBL_008_Qs_Lot_1[Max score], MATCH(1, (SUBSTITUTE($D13, "*", "")=TBL_008_Qs_Lot_1[Q.])*("Question"=TBL_008_Qs_Lot_1[Type]),0)), "N/A"))</f>
        <v>N/A</v>
      </c>
      <c r="F13" s="428" t="str">
        <f t="array" ref="F13">IF(OR(SQ_Weighted?="No", $E13="N/A", $E13=0), "N/A", INDEX(TBL_008_Qs_Lot_1[Weighting], MATCH(1, (SUBSTITUTE($D13, "*", "")=TBL_008_Qs_Lot_1[Q.])*("Question"=TBL_008_Qs_Lot_1[Type]),0)))</f>
        <v>N/A</v>
      </c>
      <c r="G13" s="429" t="str">
        <f t="shared" si="0"/>
        <v>Question not used</v>
      </c>
      <c r="I13" s="424">
        <v>7</v>
      </c>
      <c r="J13" s="427" t="s">
        <v>1085</v>
      </c>
      <c r="K13" s="428" t="str">
        <f t="array" ref="K13">IF(Tech_Qs_Lot_1&gt;=I13, INDEX(TBL_008_Qs_Lot_1[Max score], MATCH(1, (J13=TBL_008_Qs_Lot_1[Q.])*("Question"=TBL_008_Qs_Lot_1[Type]),0)), "N/A")</f>
        <v>N/A</v>
      </c>
      <c r="L13" s="428" t="str">
        <f t="array" ref="L13">IF(OR(Tech_Weighted?="No", K13="N/A", K13=0), "N/A", INDEX(TBL_008_Qs_Lot_1[Weighting], MATCH(1, (J13=TBL_008_Qs_Lot_1[Q.])*("Question"=TBL_008_Qs_Lot_1[Type]),0)))</f>
        <v>N/A</v>
      </c>
      <c r="M13" s="429" t="str">
        <f t="shared" si="1"/>
        <v>Question not used</v>
      </c>
      <c r="P13" s="432"/>
      <c r="Q13" s="433"/>
      <c r="R13" s="433"/>
      <c r="S13" s="434"/>
      <c r="T13" s="284" t="str">
        <f>IF(OR('Project Info'!$B$18="Open Procedure", 'Project Info'!$B$20="SQ"), "", "Shade")</f>
        <v/>
      </c>
      <c r="U13" s="284" t="str">
        <f>IF(OR('Project Info'!$B$20="SQ", Price_split=100), "Shade", "")</f>
        <v>Shade</v>
      </c>
      <c r="V13" s="284" t="str">
        <f>IF(OR('Project Info'!$B$20="SQ", Price_split=100, Int_or_SV="Not applicable"), "Shade", "")</f>
        <v>Shade</v>
      </c>
    </row>
    <row r="14" spans="1:22" ht="14">
      <c r="A14" s="284">
        <v>6</v>
      </c>
      <c r="B14" s="284">
        <v>8</v>
      </c>
      <c r="C14" s="284">
        <f t="array" ref="C14">IF(INDEX(TBL_003_DocMerge[PAS_or_SQ?], MATCH(1, (Job_No=TBL_003_DocMerge[Job_No])*(Doc_Lot=TBL_003_DocMerge[Lot]),0))="SQ", A14, B14)</f>
        <v>6</v>
      </c>
      <c r="D14" s="427" t="s">
        <v>441</v>
      </c>
      <c r="E14" s="428" t="str">
        <f t="array" ref="E14">IF(AND(INDEX(TBL_003_DocMerge[PAS_or_SQ?], MATCH(1, (Job_No=TBL_003_DocMerge[Job_No])*(Doc_Lot=TBL_003_DocMerge[Lot]),0))="SQ", D14="Q6.2"), "N/A", IF(SQ_Qs_Lot_1&gt;=$C14, INDEX(TBL_008_Qs_Lot_1[Max score], MATCH(1, (SUBSTITUTE($D14, "*", "")=TBL_008_Qs_Lot_1[Q.])*("Question"=TBL_008_Qs_Lot_1[Type]),0)), "N/A"))</f>
        <v>N/A</v>
      </c>
      <c r="F14" s="428" t="str">
        <f t="array" ref="F14">IF(OR(SQ_Weighted?="No", $E14="N/A", $E14=0), "N/A", INDEX(TBL_008_Qs_Lot_1[Weighting], MATCH(1, (SUBSTITUTE($D14, "*", "")=TBL_008_Qs_Lot_1[Q.])*("Question"=TBL_008_Qs_Lot_1[Type]),0)))</f>
        <v>N/A</v>
      </c>
      <c r="G14" s="429" t="str">
        <f t="shared" si="0"/>
        <v>Question not used</v>
      </c>
      <c r="I14" s="424">
        <v>8</v>
      </c>
      <c r="J14" s="427" t="s">
        <v>1086</v>
      </c>
      <c r="K14" s="428" t="str">
        <f t="array" ref="K14">IF(Tech_Qs_Lot_1&gt;=I14, INDEX(TBL_008_Qs_Lot_1[Max score], MATCH(1, (J14=TBL_008_Qs_Lot_1[Q.])*("Question"=TBL_008_Qs_Lot_1[Type]),0)), "N/A")</f>
        <v>N/A</v>
      </c>
      <c r="L14" s="428" t="str">
        <f t="array" ref="L14">IF(OR(Tech_Weighted?="No", K14="N/A", K14=0), "N/A", INDEX(TBL_008_Qs_Lot_1[Weighting], MATCH(1, (J14=TBL_008_Qs_Lot_1[Q.])*("Question"=TBL_008_Qs_Lot_1[Type]),0)))</f>
        <v>N/A</v>
      </c>
      <c r="M14" s="429" t="str">
        <f t="shared" si="1"/>
        <v>Question not used</v>
      </c>
      <c r="P14" s="432"/>
      <c r="Q14" s="433"/>
      <c r="R14" s="433"/>
      <c r="S14" s="434"/>
      <c r="T14" s="284" t="str">
        <f>IF(OR('Project Info'!$B$18="Open Procedure", 'Project Info'!$B$20="SQ"), "", "Shade")</f>
        <v/>
      </c>
      <c r="U14" s="284" t="str">
        <f>IF(OR('Project Info'!$B$20="SQ", Price_split=100), "Shade", "")</f>
        <v>Shade</v>
      </c>
      <c r="V14" s="284" t="str">
        <f>IF(OR('Project Info'!$B$20="SQ", Price_split=100, Int_or_SV="Not applicable"), "Shade", "")</f>
        <v>Shade</v>
      </c>
    </row>
    <row r="15" spans="1:22" ht="14">
      <c r="A15" s="284">
        <v>7</v>
      </c>
      <c r="B15" s="284">
        <v>9</v>
      </c>
      <c r="C15" s="284">
        <f t="array" ref="C15">IF(INDEX(TBL_003_DocMerge[PAS_or_SQ?], MATCH(1, (Job_No=TBL_003_DocMerge[Job_No])*(Doc_Lot=TBL_003_DocMerge[Lot]),0))="SQ", A15, B15)</f>
        <v>7</v>
      </c>
      <c r="D15" s="427" t="s">
        <v>697</v>
      </c>
      <c r="E15" s="428" t="str">
        <f t="array" ref="E15">IF(AND(INDEX(TBL_003_DocMerge[PAS_or_SQ?], MATCH(1, (Job_No=TBL_003_DocMerge[Job_No])*(Doc_Lot=TBL_003_DocMerge[Lot]),0))="SQ", D15="Q6.2"), "N/A", IF(SQ_Qs_Lot_1&gt;=$C15, INDEX(TBL_008_Qs_Lot_1[Max score], MATCH(1, (SUBSTITUTE($D15, "*", "")=TBL_008_Qs_Lot_1[Q.])*("Question"=TBL_008_Qs_Lot_1[Type]),0)), "N/A"))</f>
        <v>N/A</v>
      </c>
      <c r="F15" s="428" t="str">
        <f t="array" ref="F15">IF(OR(SQ_Weighted?="No", $E15="N/A", $E15=0), "N/A", INDEX(TBL_008_Qs_Lot_1[Weighting], MATCH(1, (SUBSTITUTE($D15, "*", "")=TBL_008_Qs_Lot_1[Q.])*("Question"=TBL_008_Qs_Lot_1[Type]),0)))</f>
        <v>N/A</v>
      </c>
      <c r="G15" s="429" t="str">
        <f t="shared" si="0"/>
        <v>Question not used</v>
      </c>
      <c r="I15" s="424">
        <v>9</v>
      </c>
      <c r="J15" s="427" t="s">
        <v>1087</v>
      </c>
      <c r="K15" s="428" t="str">
        <f t="array" ref="K15">IF(Tech_Qs_Lot_1&gt;=I15, INDEX(TBL_008_Qs_Lot_1[Max score], MATCH(1, (J15=TBL_008_Qs_Lot_1[Q.])*("Question"=TBL_008_Qs_Lot_1[Type]),0)), "N/A")</f>
        <v>N/A</v>
      </c>
      <c r="L15" s="428" t="str">
        <f t="array" ref="L15">IF(OR(Tech_Weighted?="No", K15="N/A", K15=0), "N/A", INDEX(TBL_008_Qs_Lot_1[Weighting], MATCH(1, (J15=TBL_008_Qs_Lot_1[Q.])*("Question"=TBL_008_Qs_Lot_1[Type]),0)))</f>
        <v>N/A</v>
      </c>
      <c r="M15" s="429" t="str">
        <f t="shared" si="1"/>
        <v>Question not used</v>
      </c>
      <c r="P15" s="432"/>
      <c r="Q15" s="433"/>
      <c r="R15" s="433"/>
      <c r="S15" s="434"/>
      <c r="T15" s="284" t="str">
        <f>IF(OR('Project Info'!$B$18="Open Procedure", 'Project Info'!$B$20="SQ"), "", "Shade")</f>
        <v/>
      </c>
      <c r="U15" s="284" t="str">
        <f>IF(OR('Project Info'!$B$20="SQ", Price_split=100), "Shade", "")</f>
        <v>Shade</v>
      </c>
      <c r="V15" s="284" t="str">
        <f>IF(OR('Project Info'!$B$20="SQ", Price_split=100, Int_or_SV="Not applicable"), "Shade", "")</f>
        <v>Shade</v>
      </c>
    </row>
    <row r="16" spans="1:22" ht="14">
      <c r="A16" s="284">
        <v>8</v>
      </c>
      <c r="B16" s="284">
        <v>10</v>
      </c>
      <c r="C16" s="284">
        <f t="array" ref="C16">IF(INDEX(TBL_003_DocMerge[PAS_or_SQ?], MATCH(1, (Job_No=TBL_003_DocMerge[Job_No])*(Doc_Lot=TBL_003_DocMerge[Lot]),0))="SQ", A16, B16)</f>
        <v>8</v>
      </c>
      <c r="D16" s="427" t="s">
        <v>708</v>
      </c>
      <c r="E16" s="428" t="str">
        <f t="array" ref="E16">IF(AND(INDEX(TBL_003_DocMerge[PAS_or_SQ?], MATCH(1, (Job_No=TBL_003_DocMerge[Job_No])*(Doc_Lot=TBL_003_DocMerge[Lot]),0))="SQ", D16="Q6.2"), "N/A", IF(SQ_Qs_Lot_1&gt;=$C16, INDEX(TBL_008_Qs_Lot_1[Max score], MATCH(1, (SUBSTITUTE($D16, "*", "")=TBL_008_Qs_Lot_1[Q.])*("Question"=TBL_008_Qs_Lot_1[Type]),0)), "N/A"))</f>
        <v>N/A</v>
      </c>
      <c r="F16" s="428" t="str">
        <f t="array" ref="F16">IF(OR(SQ_Weighted?="No", $E16="N/A", $E16=0), "N/A", INDEX(TBL_008_Qs_Lot_1[Weighting], MATCH(1, (SUBSTITUTE($D16, "*", "")=TBL_008_Qs_Lot_1[Q.])*("Question"=TBL_008_Qs_Lot_1[Type]),0)))</f>
        <v>N/A</v>
      </c>
      <c r="G16" s="429" t="str">
        <f t="shared" si="0"/>
        <v>Question not used</v>
      </c>
      <c r="I16" s="424">
        <v>10</v>
      </c>
      <c r="J16" s="427" t="s">
        <v>1088</v>
      </c>
      <c r="K16" s="428" t="str">
        <f t="array" ref="K16">IF(Tech_Qs_Lot_1&gt;=I16, INDEX(TBL_008_Qs_Lot_1[Max score], MATCH(1, (J16=TBL_008_Qs_Lot_1[Q.])*("Question"=TBL_008_Qs_Lot_1[Type]),0)), "N/A")</f>
        <v>N/A</v>
      </c>
      <c r="L16" s="428" t="str">
        <f t="array" ref="L16">IF(OR(Tech_Weighted?="No", K16="N/A", K16=0), "N/A", INDEX(TBL_008_Qs_Lot_1[Weighting], MATCH(1, (J16=TBL_008_Qs_Lot_1[Q.])*("Question"=TBL_008_Qs_Lot_1[Type]),0)))</f>
        <v>N/A</v>
      </c>
      <c r="M16" s="429" t="str">
        <f t="shared" si="1"/>
        <v>Question not used</v>
      </c>
      <c r="P16" s="432"/>
      <c r="Q16" s="433"/>
      <c r="R16" s="433"/>
      <c r="S16" s="434"/>
      <c r="T16" s="284" t="str">
        <f>IF(OR('Project Info'!$B$18="Open Procedure", 'Project Info'!$B$20="SQ"), "", "Shade")</f>
        <v/>
      </c>
      <c r="U16" s="284" t="str">
        <f>IF(OR('Project Info'!$B$20="SQ", Price_split=100), "Shade", "")</f>
        <v>Shade</v>
      </c>
      <c r="V16" s="284" t="str">
        <f>IF(OR('Project Info'!$B$20="SQ", Price_split=100, Int_or_SV="Not applicable"), "Shade", "")</f>
        <v>Shade</v>
      </c>
    </row>
    <row r="17" spans="1:22" ht="14">
      <c r="A17" s="284">
        <v>9</v>
      </c>
      <c r="B17" s="284">
        <v>11</v>
      </c>
      <c r="C17" s="284">
        <f t="array" ref="C17">IF(INDEX(TBL_003_DocMerge[PAS_or_SQ?], MATCH(1, (Job_No=TBL_003_DocMerge[Job_No])*(Doc_Lot=TBL_003_DocMerge[Lot]),0))="SQ", A17, B17)</f>
        <v>9</v>
      </c>
      <c r="D17" s="427" t="s">
        <v>719</v>
      </c>
      <c r="E17" s="428" t="str">
        <f t="array" ref="E17">IF(AND(INDEX(TBL_003_DocMerge[PAS_or_SQ?], MATCH(1, (Job_No=TBL_003_DocMerge[Job_No])*(Doc_Lot=TBL_003_DocMerge[Lot]),0))="SQ", D17="Q6.2"), "N/A", IF(SQ_Qs_Lot_1&gt;=$C17, INDEX(TBL_008_Qs_Lot_1[Max score], MATCH(1, (SUBSTITUTE($D17, "*", "")=TBL_008_Qs_Lot_1[Q.])*("Question"=TBL_008_Qs_Lot_1[Type]),0)), "N/A"))</f>
        <v>N/A</v>
      </c>
      <c r="F17" s="428" t="str">
        <f t="array" ref="F17">IF(OR(SQ_Weighted?="No", $E17="N/A", $E17=0), "N/A", INDEX(TBL_008_Qs_Lot_1[Weighting], MATCH(1, (SUBSTITUTE($D17, "*", "")=TBL_008_Qs_Lot_1[Q.])*("Question"=TBL_008_Qs_Lot_1[Type]),0)))</f>
        <v>N/A</v>
      </c>
      <c r="G17" s="429" t="str">
        <f t="shared" si="0"/>
        <v>Question not used</v>
      </c>
      <c r="J17" s="327" t="str">
        <f>IF(Tech_Weighted?="Yes", "", "Total:")</f>
        <v>Total:</v>
      </c>
      <c r="K17" s="431">
        <f>IF(Tech_Weighted?="Yes", "Total:", SUM(K7:K16))</f>
        <v>0</v>
      </c>
      <c r="L17" s="324">
        <f>IF(SUM(L7:L16)=Tech_Weighting, SUM(L7:L16), "Error!")</f>
        <v>0</v>
      </c>
      <c r="M17" s="325" t="s">
        <v>868</v>
      </c>
      <c r="Q17" s="424"/>
      <c r="R17" s="424"/>
      <c r="S17" s="424"/>
      <c r="T17" s="284" t="str">
        <f>IF(OR('Project Info'!$B$18="Open Procedure", 'Project Info'!$B$20="SQ"), "", "Shade")</f>
        <v/>
      </c>
      <c r="U17" s="284" t="str">
        <f>IF(OR('Project Info'!$B$20="SQ", Price_split=100), "Shade", "")</f>
        <v>Shade</v>
      </c>
      <c r="V17" s="284" t="str">
        <f>IF(OR('Project Info'!$B$20="SQ", Price_split=100, Int_or_SV="Not applicable"), "Shade", "")</f>
        <v>Shade</v>
      </c>
    </row>
    <row r="18" spans="1:22" ht="14">
      <c r="A18" s="284">
        <v>10</v>
      </c>
      <c r="B18" s="284">
        <v>12</v>
      </c>
      <c r="C18" s="284">
        <f t="array" ref="C18">IF(INDEX(TBL_003_DocMerge[PAS_or_SQ?], MATCH(1, (Job_No=TBL_003_DocMerge[Job_No])*(Doc_Lot=TBL_003_DocMerge[Lot]),0))="SQ", A18, B18)</f>
        <v>10</v>
      </c>
      <c r="D18" s="427" t="s">
        <v>730</v>
      </c>
      <c r="E18" s="428" t="str">
        <f t="array" ref="E18">IF(AND(INDEX(TBL_003_DocMerge[PAS_or_SQ?], MATCH(1, (Job_No=TBL_003_DocMerge[Job_No])*(Doc_Lot=TBL_003_DocMerge[Lot]),0))="SQ", D18="Q6.2"), "N/A", IF(SQ_Qs_Lot_1&gt;=$C18, INDEX(TBL_008_Qs_Lot_1[Max score], MATCH(1, (SUBSTITUTE($D18, "*", "")=TBL_008_Qs_Lot_1[Q.])*("Question"=TBL_008_Qs_Lot_1[Type]),0)), "N/A"))</f>
        <v>N/A</v>
      </c>
      <c r="F18" s="428" t="str">
        <f t="array" ref="F18">IF(OR(SQ_Weighted?="No", $E18="N/A", $E18=0), "N/A", INDEX(TBL_008_Qs_Lot_1[Weighting], MATCH(1, (SUBSTITUTE($D18, "*", "")=TBL_008_Qs_Lot_1[Q.])*("Question"=TBL_008_Qs_Lot_1[Type]),0)))</f>
        <v>N/A</v>
      </c>
      <c r="G18" s="429" t="str">
        <f t="shared" si="0"/>
        <v>Question not used</v>
      </c>
      <c r="T18" s="284" t="str">
        <f>IF(OR('Project Info'!$B$18="Open Procedure", 'Project Info'!$B$20="SQ"), "", "Shade")</f>
        <v/>
      </c>
      <c r="U18" s="284" t="str">
        <f>IF(OR('Project Info'!$B$20="SQ", Price_split=100), "Shade", "")</f>
        <v>Shade</v>
      </c>
      <c r="V18" s="284" t="str">
        <f>IF(OR('Project Info'!$B$20="SQ", Price_split=100, Int_or_SV="Not applicable"), "Shade", "")</f>
        <v>Shade</v>
      </c>
    </row>
    <row r="19" spans="1:22" ht="14">
      <c r="A19" s="284">
        <v>11</v>
      </c>
      <c r="B19" s="284">
        <v>13</v>
      </c>
      <c r="C19" s="284">
        <f t="array" ref="C19">IF(INDEX(TBL_003_DocMerge[PAS_or_SQ?], MATCH(1, (Job_No=TBL_003_DocMerge[Job_No])*(Doc_Lot=TBL_003_DocMerge[Lot]),0))="SQ", A19, B19)</f>
        <v>11</v>
      </c>
      <c r="D19" s="427" t="s">
        <v>741</v>
      </c>
      <c r="E19" s="428" t="str">
        <f t="array" ref="E19">IF(AND(INDEX(TBL_003_DocMerge[PAS_or_SQ?], MATCH(1, (Job_No=TBL_003_DocMerge[Job_No])*(Doc_Lot=TBL_003_DocMerge[Lot]),0))="SQ", D19="Q6.2"), "N/A", IF(SQ_Qs_Lot_1&gt;=$C19, INDEX(TBL_008_Qs_Lot_1[Max score], MATCH(1, (SUBSTITUTE($D19, "*", "")=TBL_008_Qs_Lot_1[Q.])*("Question"=TBL_008_Qs_Lot_1[Type]),0)), "N/A"))</f>
        <v>N/A</v>
      </c>
      <c r="F19" s="428" t="str">
        <f t="array" ref="F19">IF(OR(SQ_Weighted?="No", $E19="N/A", $E19=0), "N/A", INDEX(TBL_008_Qs_Lot_1[Weighting], MATCH(1, (SUBSTITUTE($D19, "*", "")=TBL_008_Qs_Lot_1[Q.])*("Question"=TBL_008_Qs_Lot_1[Type]),0)))</f>
        <v>N/A</v>
      </c>
      <c r="G19" s="429" t="str">
        <f t="shared" si="0"/>
        <v>Question not used</v>
      </c>
      <c r="T19" s="284" t="str">
        <f>IF(OR('Project Info'!$B$18="Open Procedure", 'Project Info'!$B$20="SQ"), "", "Shade")</f>
        <v/>
      </c>
      <c r="U19" s="284" t="str">
        <f>IF(OR('Project Info'!$B$20="SQ", Price_split=100), "Shade", "")</f>
        <v>Shade</v>
      </c>
      <c r="V19" s="284" t="str">
        <f>IF(OR('Project Info'!$B$20="SQ", Price_split=100, Int_or_SV="Not applicable"), "Shade", "")</f>
        <v>Shade</v>
      </c>
    </row>
    <row r="20" spans="1:22" ht="14">
      <c r="D20" s="327" t="str">
        <f>IF(SQ_Weighted?="Yes", "", "Total:")</f>
        <v>Total:</v>
      </c>
      <c r="E20" s="431">
        <f>IF(SQ_Weighted?="Yes", "Total:", SUM(E7:E19))</f>
        <v>20</v>
      </c>
      <c r="F20" s="324" t="str">
        <f>IF(SQ_Weighted?="Yes", IF((SUM(F7:F19)-F9)=100, 100, "Error!"), "N/A")</f>
        <v>N/A</v>
      </c>
      <c r="G20" s="325" t="s">
        <v>868</v>
      </c>
      <c r="T20" s="284" t="str">
        <f>IF(OR('Project Info'!$B$18="Open Procedure", 'Project Info'!$B$20="SQ"), "", "Shade")</f>
        <v/>
      </c>
      <c r="U20" s="284" t="str">
        <f>IF(OR('Project Info'!$B$20="SQ", Price_split=100), "Shade", "")</f>
        <v>Shade</v>
      </c>
      <c r="V20" s="284" t="str">
        <f>IF(OR('Project Info'!$B$20="SQ", Price_split=100, Int_or_SV="Not applicable"), "Shade", "")</f>
        <v>Shade</v>
      </c>
    </row>
    <row r="21" spans="1:22">
      <c r="D21"/>
      <c r="E21"/>
      <c r="F21"/>
      <c r="G21"/>
    </row>
    <row r="22" spans="1:22">
      <c r="D22"/>
      <c r="E22"/>
      <c r="F22"/>
      <c r="G22"/>
    </row>
    <row r="23" spans="1:22" ht="14">
      <c r="D23" s="330" t="str">
        <f>IF(AND(Lotted?="Yes", No_Lots?&gt;=2), "Lot 2:", "")</f>
        <v>Lot 2:</v>
      </c>
      <c r="E23" s="329" t="e">
        <f>IF(AND(Lotted?="Yes", No_Lots?&gt;=2), TBL_003_DocMerge[Lot_2_Name], "Ignore this table")</f>
        <v>#VALUE!</v>
      </c>
      <c r="F23" s="320"/>
      <c r="G23" s="319"/>
      <c r="J23" s="330" t="str">
        <f>IF(AND(Lotted?="Yes", No_Lots?&gt;=2), "Lot 2:", "")</f>
        <v>Lot 2:</v>
      </c>
      <c r="K23" s="329" t="e">
        <f>IF(AND(Lotted?="Yes", No_Lots?&gt;=2), TBL_003_DocMerge[Lot_2_Name], "Ignore this table")</f>
        <v>#VALUE!</v>
      </c>
      <c r="L23" s="320"/>
      <c r="M23" s="319"/>
      <c r="P23" s="330" t="str">
        <f>IF(AND(Lotted?="Yes", No_Lots?&gt;=2), "Lot 2:", "")</f>
        <v>Lot 2:</v>
      </c>
      <c r="Q23" s="329" t="e">
        <f>IF(AND(Lotted?="Yes", No_Lots?&gt;=2), TBL_003_DocMerge[Lot_2_Name], "Ignore this table")</f>
        <v>#VALUE!</v>
      </c>
      <c r="R23" s="320"/>
      <c r="S23" s="319"/>
      <c r="T23" s="284" t="str">
        <f>IF(OR('Project Info'!$B$18="Open Procedure", 'Project Info'!$B$20="SQ"), IF(AND(Lotted?="Yes", No_Lots?&gt;=2), IF(Doc_Lot="All", IF(SQ_Same_Qs?="Yes", "Shade", ""), "Shade"), "Shade"), "Shade")</f>
        <v>Shade</v>
      </c>
      <c r="U23" s="284" t="str">
        <f>IF(OR('Project Info'!$B$20="SQ", Price_split=100), "Shade", IF(AND(Lotted?="Yes", No_Lots?&gt;=2), IF(Doc_Lot="All", IF(Tech_Same_Qs?="Yes", "Shade", ""), "Shade"), "Shade"))</f>
        <v>Shade</v>
      </c>
      <c r="V23" s="284" t="str">
        <f>IF(OR('Project Info'!$B$20="SQ", Price_split=100, Int_or_SV="Not applicable"), "Shade", IF(AND(Lotted?="Yes", No_Lots?&gt;=2), IF(Doc_Lot="All", IF(IntSV_Same_Qs?="Yes", "Shade", ""), "Shade"), "Shade"))</f>
        <v>Shade</v>
      </c>
    </row>
    <row r="24" spans="1:22" ht="28">
      <c r="A24" s="354" t="s">
        <v>928</v>
      </c>
      <c r="B24" s="354" t="s">
        <v>1135</v>
      </c>
      <c r="C24" s="354" t="s">
        <v>1134</v>
      </c>
      <c r="D24" s="321" t="s">
        <v>864</v>
      </c>
      <c r="E24" s="322" t="s">
        <v>865</v>
      </c>
      <c r="F24" s="322" t="s">
        <v>862</v>
      </c>
      <c r="G24" s="323" t="s">
        <v>866</v>
      </c>
      <c r="J24" s="321" t="s">
        <v>864</v>
      </c>
      <c r="K24" s="322" t="s">
        <v>865</v>
      </c>
      <c r="L24" s="322" t="s">
        <v>862</v>
      </c>
      <c r="M24" s="323" t="s">
        <v>866</v>
      </c>
      <c r="P24" s="321" t="s">
        <v>864</v>
      </c>
      <c r="Q24" s="322" t="s">
        <v>865</v>
      </c>
      <c r="R24" s="322" t="s">
        <v>862</v>
      </c>
      <c r="S24" s="323" t="s">
        <v>866</v>
      </c>
      <c r="T24" s="284" t="str">
        <f>IF(OR('Project Info'!$B$18="Open Procedure", 'Project Info'!$B$20="SQ"), IF(AND(Lotted?="Yes", No_Lots?&gt;=2), IF(Doc_Lot="All", IF(SQ_Same_Qs?="Yes", "Shade", ""), "Shade"), "Shade"), "Shade")</f>
        <v>Shade</v>
      </c>
      <c r="U24" s="284" t="str">
        <f>IF(OR('Project Info'!$B$20="SQ", Price_split=100), "Shade", IF(AND(Lotted?="Yes", No_Lots?&gt;=2), IF(Doc_Lot="All", IF(Tech_Same_Qs?="Yes", "Shade", ""), "Shade"), "Shade"))</f>
        <v>Shade</v>
      </c>
      <c r="V24" s="284" t="str">
        <f>IF(OR('Project Info'!$B$20="SQ", Price_split=100, Int_or_SV="Not applicable"), "Shade", IF(AND(Lotted?="Yes", No_Lots?&gt;=2), IF(Doc_Lot="All", IF(IntSV_Same_Qs?="Yes", "Shade", ""), "Shade"), "Shade"))</f>
        <v>Shade</v>
      </c>
    </row>
    <row r="25" spans="1:22" ht="14">
      <c r="A25" s="284">
        <v>1</v>
      </c>
      <c r="B25" s="284">
        <v>1</v>
      </c>
      <c r="C25" s="284">
        <f t="array" ref="C25">IF(INDEX(TBL_003_DocMerge[PAS_or_SQ?], MATCH(1, (Job_No=TBL_003_DocMerge[Job_No])*(Doc_Lot=TBL_003_DocMerge[Lot]),0))="SQ", A25, B25)</f>
        <v>1</v>
      </c>
      <c r="D25" s="427" t="s">
        <v>649</v>
      </c>
      <c r="E25" s="428">
        <f t="array" ref="E25">IF(AND(INDEX(TBL_003_DocMerge[PAS_or_SQ?], MATCH(1, (Job_No=TBL_003_DocMerge[Job_No])*(Doc_Lot=TBL_003_DocMerge[Lot]),0))="SQ", D25="Q6.2"), "N/A", IF(OR(Lotted?="No",No_Lots?&lt;2),"N/A", IF(SQ_Same_Qs?="Yes", IF(SQ_Qs_Lot_1&gt;=$C25, INDEX(TBL_008_Qs_Lot_1[Max score], MATCH(1, (SUBSTITUTE($D25, "*", "")=TBL_008_Qs_Lot_1[Q.])*("Question"=TBL_008_Qs_Lot_1[Type]),0)), "N/A"), IF(SQ_Qs_Lot_2&gt;=$C25, INDEX(#REF!, MATCH(1, (SUBSTITUTE($D25, "*", "")=#REF!)*("Question"=#REF!),0)), "N/A"))))</f>
        <v>15</v>
      </c>
      <c r="F25" s="428" t="str">
        <f t="array" ref="F25">IF(OR(SQ_Weighted?="No", $E25="N/A", $E25=0),"N/A",IF(SQ_Same_Qs?="Yes", INDEX(TBL_008_Qs_Lot_1[Weighting],MATCH(1,(SUBSTITUTE($D25,"*","")=TBL_008_Qs_Lot_1[Q.])*("Question"=TBL_008_Qs_Lot_1[Type]),0)), INDEX(#REF!,MATCH(1,(SUBSTITUTE($D25,"*","")=#REF!)*("Question"=#REF!),0))))</f>
        <v>N/A</v>
      </c>
      <c r="G25" s="429" t="str">
        <f t="shared" ref="G25:G37" si="2">IF(F25="N/A", "Question not used", CONCATENATE("([Marks awarded for ", SUBSTITUTE(D25, "*", ""), "] / ", E25, ".00) x ", F25, ".00"))</f>
        <v>Question not used</v>
      </c>
      <c r="I25" s="424">
        <v>1</v>
      </c>
      <c r="J25" s="427" t="s">
        <v>1079</v>
      </c>
      <c r="K25" s="428" t="e">
        <f t="array" ref="K25">IF(OR(Lotted?="No", No_Lots?&lt;2), "N/A", IF(Tech_Same_Qs?="Yes", IF(Tech_Qs_Lot_1&gt;=I25, INDEX(TBL_008_Qs_Lot_1[Max score], MATCH(1, (J25=TBL_008_Qs_Lot_1[Q.])*("Question"=TBL_008_Qs_Lot_1[Type]),0)), "N/A"), IF(Tech_Qs_Lot_2&gt;=I25, INDEX(#REF!, MATCH(1, (J25=#REF!)*("Question"=#REF!),0)), "N/A")))</f>
        <v>#REF!</v>
      </c>
      <c r="L25" s="428" t="e">
        <f t="array" ref="L25">IF(OR(Tech_Weighted?="No", K25="N/A", K25=0), "N/A", IF(Tech_Same_Qs?="Yes", INDEX(TBL_008_Qs_Lot_1[Weighting], MATCH(1, (J25=TBL_008_Qs_Lot_1[Q.])*("Question"=TBL_008_Qs_Lot_1[Type]),0)), INDEX(#REF!, MATCH(1, (J25=#REF!)*("Question"=#REF!),0))))</f>
        <v>#REF!</v>
      </c>
      <c r="M25" s="429" t="e">
        <f t="shared" ref="M25:M34" si="3">IF(L25="N/A", "Question not used", CONCATENATE("([Marks awarded for ", J25, "] / ", K25, ".00) x ", L25, ".00"))</f>
        <v>#REF!</v>
      </c>
      <c r="O25" s="424">
        <v>1</v>
      </c>
      <c r="P25" s="427" t="s">
        <v>1089</v>
      </c>
      <c r="Q25" s="428" t="str">
        <f t="array" ref="Q25">IF(OR(Int_or_SV="Not applicable", Lotted?="No", No_Lots?&lt;2), "N/A", IF(IntSV_Same_Qs?="Yes", IF(IntSV_Qs_Lot_1&gt;=O25, INDEX(TBL_008_Qs_Lot_1[Max score], MATCH(1, (P25=TBL_008_Qs_Lot_1[Q.])*("Question"=TBL_008_Qs_Lot_1[Type]),0)), "N/A"), IF(IntSV_Qs_Lot_2&gt;=O25, INDEX(#REF!, MATCH(1, (P25=#REF!)*("Question"=#REF!),0)), "N/A")))</f>
        <v>N/A</v>
      </c>
      <c r="R25" s="428" t="str">
        <f t="array" ref="R25">IF(OR(IntSV_Weighted?="No", Q25="N/A", Q25=0), "N/A", IF(IntSV_Same_Qs?="Yes", INDEX(TBL_008_Qs_Lot_1[Weighting], MATCH(1, (P25=TBL_008_Qs_Lot_1[Q.])*("Question"=TBL_008_Qs_Lot_1[Type]),0)), INDEX(#REF!, MATCH(1, (P25=#REF!)*("Question"=#REF!),0))))</f>
        <v>N/A</v>
      </c>
      <c r="S25" s="429" t="str">
        <f>IF(R25="N/A", "Question not used", CONCATENATE("([Marks awarded for ", P25, "] / ", Q25, ".00) x ", R25, ".00"))</f>
        <v>Question not used</v>
      </c>
      <c r="T25" s="284" t="str">
        <f>IF(OR('Project Info'!$B$18="Open Procedure", 'Project Info'!$B$20="SQ"), IF(AND(Lotted?="Yes", No_Lots?&gt;=2), IF(Doc_Lot="All", IF(SQ_Same_Qs?="Yes", "Shade", ""), "Shade"), "Shade"), "Shade")</f>
        <v>Shade</v>
      </c>
      <c r="U25" s="284" t="str">
        <f>IF(OR('Project Info'!$B$20="SQ", Price_split=100), "Shade", IF(AND(Lotted?="Yes", No_Lots?&gt;=2), IF(Doc_Lot="All", IF(Tech_Same_Qs?="Yes", "Shade", ""), "Shade"), "Shade"))</f>
        <v>Shade</v>
      </c>
      <c r="V25" s="284" t="str">
        <f>IF(OR('Project Info'!$B$20="SQ", Price_split=100, Int_or_SV="Not applicable"), "Shade", IF(AND(Lotted?="Yes", No_Lots?&gt;=2), IF(Doc_Lot="All", IF(IntSV_Same_Qs?="Yes", "Shade", ""), "Shade"), "Shade"))</f>
        <v>Shade</v>
      </c>
    </row>
    <row r="26" spans="1:22" ht="14">
      <c r="A26" s="284">
        <v>1</v>
      </c>
      <c r="B26" s="284">
        <v>2</v>
      </c>
      <c r="C26" s="284">
        <f t="array" ref="C26">IF(INDEX(TBL_003_DocMerge[PAS_or_SQ?], MATCH(1, (Job_No=TBL_003_DocMerge[Job_No])*(Doc_Lot=TBL_003_DocMerge[Lot]),0))="SQ", A26, B26)</f>
        <v>1</v>
      </c>
      <c r="D26" s="427" t="s">
        <v>653</v>
      </c>
      <c r="E26" s="428" t="str">
        <f t="array" ref="E26">IF(AND(INDEX(TBL_003_DocMerge[PAS_or_SQ?], MATCH(1, (Job_No=TBL_003_DocMerge[Job_No])*(Doc_Lot=TBL_003_DocMerge[Lot]),0))="SQ", D26="Q6.2"), "N/A", IF(OR(Lotted?="No",No_Lots?&lt;2),"N/A", IF(SQ_Same_Qs?="Yes", IF(SQ_Qs_Lot_1&gt;=$C26, INDEX(TBL_008_Qs_Lot_1[Max score], MATCH(1, (SUBSTITUTE($D26, "*", "")=TBL_008_Qs_Lot_1[Q.])*("Question"=TBL_008_Qs_Lot_1[Type]),0)), "N/A"), IF(SQ_Qs_Lot_2&gt;=$C26, INDEX(#REF!, MATCH(1, (SUBSTITUTE($D26, "*", "")=#REF!)*("Question"=#REF!),0)), "N/A"))))</f>
        <v>N/A</v>
      </c>
      <c r="F26" s="428" t="str">
        <f t="array" ref="F26">IF(OR(SQ_Weighted?="No", $E26="N/A", $E26=0),"N/A",IF(SQ_Same_Qs?="Yes", INDEX(TBL_008_Qs_Lot_1[Weighting],MATCH(1,(SUBSTITUTE($D26,"*","")=TBL_008_Qs_Lot_1[Q.])*("Question"=TBL_008_Qs_Lot_1[Type]),0)), INDEX(#REF!,MATCH(1,(SUBSTITUTE($D26,"*","")=#REF!)*("Question"=#REF!),0))))</f>
        <v>N/A</v>
      </c>
      <c r="G26" s="429" t="str">
        <f t="shared" si="2"/>
        <v>Question not used</v>
      </c>
      <c r="I26" s="424">
        <v>2</v>
      </c>
      <c r="J26" s="427" t="s">
        <v>1080</v>
      </c>
      <c r="K26" s="428" t="e">
        <f t="array" ref="K26">IF(OR(Lotted?="No", No_Lots?&lt;2), "N/A", IF(Tech_Same_Qs?="Yes", IF(Tech_Qs_Lot_1&gt;=I26, INDEX(TBL_008_Qs_Lot_1[Max score], MATCH(1, (J26=TBL_008_Qs_Lot_1[Q.])*("Question"=TBL_008_Qs_Lot_1[Type]),0)), "N/A"), IF(Tech_Qs_Lot_2&gt;=I26, INDEX(#REF!, MATCH(1, (J26=#REF!)*("Question"=#REF!),0)), "N/A")))</f>
        <v>#REF!</v>
      </c>
      <c r="L26" s="428" t="e">
        <f t="array" ref="L26">IF(OR(Tech_Weighted?="No", K26="N/A", K26=0), "N/A", IF(Tech_Same_Qs?="Yes", INDEX(TBL_008_Qs_Lot_1[Weighting], MATCH(1, (J26=TBL_008_Qs_Lot_1[Q.])*("Question"=TBL_008_Qs_Lot_1[Type]),0)), INDEX(#REF!, MATCH(1, (J26=#REF!)*("Question"=#REF!),0))))</f>
        <v>#REF!</v>
      </c>
      <c r="M26" s="429" t="e">
        <f t="shared" si="3"/>
        <v>#REF!</v>
      </c>
      <c r="O26" s="424">
        <v>2</v>
      </c>
      <c r="P26" s="427" t="s">
        <v>1090</v>
      </c>
      <c r="Q26" s="428" t="str">
        <f t="array" ref="Q26">IF(OR(Int_or_SV="Not applicable", Lotted?="No", No_Lots?&lt;2), "N/A", IF(IntSV_Same_Qs?="Yes", IF(IntSV_Qs_Lot_1&gt;=O26, INDEX(TBL_008_Qs_Lot_1[Max score], MATCH(1, (P26=TBL_008_Qs_Lot_1[Q.])*("Question"=TBL_008_Qs_Lot_1[Type]),0)), "N/A"), IF(IntSV_Qs_Lot_2&gt;=O26, INDEX(#REF!, MATCH(1, (P26=#REF!)*("Question"=#REF!),0)), "N/A")))</f>
        <v>N/A</v>
      </c>
      <c r="R26" s="428" t="str">
        <f t="array" ref="R26">IF(OR(IntSV_Weighted?="No", Q26="N/A", Q26=0), "N/A", IF(IntSV_Same_Qs?="Yes", INDEX(TBL_008_Qs_Lot_1[Weighting], MATCH(1, (P26=TBL_008_Qs_Lot_1[Q.])*("Question"=TBL_008_Qs_Lot_1[Type]),0)), INDEX(#REF!, MATCH(1, (P26=#REF!)*("Question"=#REF!),0))))</f>
        <v>N/A</v>
      </c>
      <c r="S26" s="429" t="str">
        <f>IF(R26="N/A", "Question not used", CONCATENATE("([Marks awarded for ", P26, "] / ", Q26, ".00) x ", R26, ".00"))</f>
        <v>Question not used</v>
      </c>
      <c r="T26" s="284" t="str">
        <f>IF(OR('Project Info'!$B$18="Open Procedure", 'Project Info'!$B$20="SQ"), IF(AND(Lotted?="Yes", No_Lots?&gt;=2), IF(Doc_Lot="All", IF(SQ_Same_Qs?="Yes", "Shade", ""), "Shade"), "Shade"), "Shade")</f>
        <v>Shade</v>
      </c>
      <c r="U26" s="284" t="str">
        <f>IF(OR('Project Info'!$B$20="SQ", Price_split=100), "Shade", IF(AND(Lotted?="Yes", No_Lots?&gt;=2), IF(Doc_Lot="All", IF(Tech_Same_Qs?="Yes", "Shade", ""), "Shade"), "Shade"))</f>
        <v>Shade</v>
      </c>
      <c r="V26" s="284" t="str">
        <f>IF(OR('Project Info'!$B$20="SQ", Price_split=100, Int_or_SV="Not applicable"), "Shade", IF(AND(Lotted?="Yes", No_Lots?&gt;=2), IF(Doc_Lot="All", IF(IntSV_Same_Qs?="Yes", "Shade", ""), "Shade"), "Shade"))</f>
        <v>Shade</v>
      </c>
    </row>
    <row r="27" spans="1:22" ht="14">
      <c r="A27" s="284">
        <v>1</v>
      </c>
      <c r="B27" s="284">
        <v>3</v>
      </c>
      <c r="C27" s="284">
        <f t="array" ref="C27">IF(INDEX(TBL_003_DocMerge[PAS_or_SQ?], MATCH(1, (Job_No=TBL_003_DocMerge[Job_No])*(Doc_Lot=TBL_003_DocMerge[Lot]),0))="SQ", A27, B27)</f>
        <v>1</v>
      </c>
      <c r="D27" s="367" t="str">
        <f t="array" ref="D27">IF(INDEX(TBL_003_DocMerge[PAS_or_SQ?], MATCH(1, (Job_No=TBL_003_DocMerge[Job_No])*(Doc_Lot=TBL_003_DocMerge[Lot]),0))="SQ", "Q6.3*", "Q6.3")</f>
        <v>Q6.3*</v>
      </c>
      <c r="E27" s="428">
        <f t="array" ref="E27">IF(AND(INDEX(TBL_003_DocMerge[PAS_or_SQ?], MATCH(1, (Job_No=TBL_003_DocMerge[Job_No])*(Doc_Lot=TBL_003_DocMerge[Lot]),0))="SQ", D27="Q6.2"), "N/A", IF(OR(Lotted?="No",No_Lots?&lt;2),"N/A", IF(SQ_Same_Qs?="Yes", IF(SQ_Qs_Lot_1&gt;=$C27, INDEX(TBL_008_Qs_Lot_1[Max score], MATCH(1, (SUBSTITUTE($D27, "*", "")=TBL_008_Qs_Lot_1[Q.])*("Question"=TBL_008_Qs_Lot_1[Type]),0)), "N/A"), IF(SQ_Qs_Lot_2&gt;=$C27, INDEX(#REF!, MATCH(1, (SUBSTITUTE($D27, "*", "")=#REF!)*("Question"=#REF!),0)), "N/A"))))</f>
        <v>5</v>
      </c>
      <c r="F27" s="428" t="str">
        <f t="array" ref="F27">IF(OR(SQ_Weighted?="No", $E27="N/A", $E27=0),"N/A",IF(SQ_Same_Qs?="Yes", INDEX(TBL_008_Qs_Lot_1[Weighting],MATCH(1,(SUBSTITUTE($D27,"*","")=TBL_008_Qs_Lot_1[Q.])*("Question"=TBL_008_Qs_Lot_1[Type]),0)), INDEX(#REF!,MATCH(1,(SUBSTITUTE($D27,"*","")=#REF!)*("Question"=#REF!),0))))</f>
        <v>N/A</v>
      </c>
      <c r="G27" s="429" t="str">
        <f t="shared" si="2"/>
        <v>Question not used</v>
      </c>
      <c r="I27" s="424">
        <v>3</v>
      </c>
      <c r="J27" s="427" t="s">
        <v>1081</v>
      </c>
      <c r="K27" s="428" t="e">
        <f t="array" ref="K27">IF(OR(Lotted?="No", No_Lots?&lt;2), "N/A", IF(Tech_Same_Qs?="Yes", IF(Tech_Qs_Lot_1&gt;=I27, INDEX(TBL_008_Qs_Lot_1[Max score], MATCH(1, (J27=TBL_008_Qs_Lot_1[Q.])*("Question"=TBL_008_Qs_Lot_1[Type]),0)), "N/A"), IF(Tech_Qs_Lot_2&gt;=I27, INDEX(#REF!, MATCH(1, (J27=#REF!)*("Question"=#REF!),0)), "N/A")))</f>
        <v>#REF!</v>
      </c>
      <c r="L27" s="428" t="e">
        <f t="array" ref="L27">IF(OR(Tech_Weighted?="No", K27="N/A", K27=0), "N/A", IF(Tech_Same_Qs?="Yes", INDEX(TBL_008_Qs_Lot_1[Weighting], MATCH(1, (J27=TBL_008_Qs_Lot_1[Q.])*("Question"=TBL_008_Qs_Lot_1[Type]),0)), INDEX(#REF!, MATCH(1, (J27=#REF!)*("Question"=#REF!),0))))</f>
        <v>#REF!</v>
      </c>
      <c r="M27" s="429" t="e">
        <f t="shared" si="3"/>
        <v>#REF!</v>
      </c>
      <c r="O27" s="424">
        <v>3</v>
      </c>
      <c r="P27" s="427" t="s">
        <v>1091</v>
      </c>
      <c r="Q27" s="428" t="str">
        <f t="array" ref="Q27">IF(OR(Int_or_SV="Not applicable", Lotted?="No", No_Lots?&lt;2), "N/A", IF(IntSV_Same_Qs?="Yes", IF(IntSV_Qs_Lot_1&gt;=O27, INDEX(TBL_008_Qs_Lot_1[Max score], MATCH(1, (P27=TBL_008_Qs_Lot_1[Q.])*("Question"=TBL_008_Qs_Lot_1[Type]),0)), "N/A"), IF(IntSV_Qs_Lot_2&gt;=O27, INDEX(#REF!, MATCH(1, (P27=#REF!)*("Question"=#REF!),0)), "N/A")))</f>
        <v>N/A</v>
      </c>
      <c r="R27" s="428" t="str">
        <f t="array" ref="R27">IF(OR(IntSV_Weighted?="No", Q27="N/A", Q27=0), "N/A", IF(IntSV_Same_Qs?="Yes", INDEX(TBL_008_Qs_Lot_1[Weighting], MATCH(1, (P27=TBL_008_Qs_Lot_1[Q.])*("Question"=TBL_008_Qs_Lot_1[Type]),0)), INDEX(#REF!, MATCH(1, (P27=#REF!)*("Question"=#REF!),0))))</f>
        <v>N/A</v>
      </c>
      <c r="S27" s="429" t="str">
        <f>IF(R27="N/A", "Question not used", CONCATENATE("([Marks awarded for ", P27, "] / ", Q27, ".00) x ", R27, ".00"))</f>
        <v>Question not used</v>
      </c>
      <c r="T27" s="284" t="str">
        <f>IF(OR('Project Info'!$B$18="Open Procedure", 'Project Info'!$B$20="SQ"), IF(AND(Lotted?="Yes", No_Lots?&gt;=2), IF(Doc_Lot="All", IF(SQ_Same_Qs?="Yes", "Shade", ""), "Shade"), "Shade"), "Shade")</f>
        <v>Shade</v>
      </c>
      <c r="U27" s="284" t="str">
        <f>IF(OR('Project Info'!$B$20="SQ", Price_split=100), "Shade", IF(AND(Lotted?="Yes", No_Lots?&gt;=2), IF(Doc_Lot="All", IF(Tech_Same_Qs?="Yes", "Shade", ""), "Shade"), "Shade"))</f>
        <v>Shade</v>
      </c>
      <c r="V27" s="284" t="str">
        <f>IF(OR('Project Info'!$B$20="SQ", Price_split=100, Int_or_SV="Not applicable"), "Shade", IF(AND(Lotted?="Yes", No_Lots?&gt;=2), IF(Doc_Lot="All", IF(IntSV_Same_Qs?="Yes", "Shade", ""), "Shade"), "Shade"))</f>
        <v>Shade</v>
      </c>
    </row>
    <row r="28" spans="1:22" ht="14">
      <c r="A28" s="284">
        <v>2</v>
      </c>
      <c r="B28" s="284">
        <v>4</v>
      </c>
      <c r="C28" s="284">
        <f t="array" ref="C28">IF(INDEX(TBL_003_DocMerge[PAS_or_SQ?], MATCH(1, (Job_No=TBL_003_DocMerge[Job_No])*(Doc_Lot=TBL_003_DocMerge[Lot]),0))="SQ", A28, B28)</f>
        <v>2</v>
      </c>
      <c r="D28" s="427" t="s">
        <v>399</v>
      </c>
      <c r="E28" s="428" t="str">
        <f t="array" ref="E28">IF(AND(INDEX(TBL_003_DocMerge[PAS_or_SQ?], MATCH(1, (Job_No=TBL_003_DocMerge[Job_No])*(Doc_Lot=TBL_003_DocMerge[Lot]),0))="SQ", D28="Q6.2"), "N/A", IF(OR(Lotted?="No",No_Lots?&lt;2),"N/A", IF(SQ_Same_Qs?="Yes", IF(SQ_Qs_Lot_1&gt;=$C28, INDEX(TBL_008_Qs_Lot_1[Max score], MATCH(1, (SUBSTITUTE($D28, "*", "")=TBL_008_Qs_Lot_1[Q.])*("Question"=TBL_008_Qs_Lot_1[Type]),0)), "N/A"), IF(SQ_Qs_Lot_2&gt;=$C28, INDEX(#REF!, MATCH(1, (SUBSTITUTE($D28, "*", "")=#REF!)*("Question"=#REF!),0)), "N/A"))))</f>
        <v>N/A</v>
      </c>
      <c r="F28" s="428" t="str">
        <f t="array" ref="F28">IF(OR(SQ_Weighted?="No", $E28="N/A", $E28=0),"N/A",IF(SQ_Same_Qs?="Yes", INDEX(TBL_008_Qs_Lot_1[Weighting],MATCH(1,(SUBSTITUTE($D28,"*","")=TBL_008_Qs_Lot_1[Q.])*("Question"=TBL_008_Qs_Lot_1[Type]),0)), INDEX(#REF!,MATCH(1,(SUBSTITUTE($D28,"*","")=#REF!)*("Question"=#REF!),0))))</f>
        <v>N/A</v>
      </c>
      <c r="G28" s="429" t="str">
        <f t="shared" si="2"/>
        <v>Question not used</v>
      </c>
      <c r="I28" s="424">
        <v>4</v>
      </c>
      <c r="J28" s="427" t="s">
        <v>1082</v>
      </c>
      <c r="K28" s="428" t="e">
        <f t="array" ref="K28">IF(OR(Lotted?="No", No_Lots?&lt;2), "N/A", IF(Tech_Same_Qs?="Yes", IF(Tech_Qs_Lot_1&gt;=I28, INDEX(TBL_008_Qs_Lot_1[Max score], MATCH(1, (J28=TBL_008_Qs_Lot_1[Q.])*("Question"=TBL_008_Qs_Lot_1[Type]),0)), "N/A"), IF(Tech_Qs_Lot_2&gt;=I28, INDEX(#REF!, MATCH(1, (J28=#REF!)*("Question"=#REF!),0)), "N/A")))</f>
        <v>#REF!</v>
      </c>
      <c r="L28" s="428" t="e">
        <f t="array" ref="L28">IF(OR(Tech_Weighted?="No", K28="N/A", K28=0), "N/A", IF(Tech_Same_Qs?="Yes", INDEX(TBL_008_Qs_Lot_1[Weighting], MATCH(1, (J28=TBL_008_Qs_Lot_1[Q.])*("Question"=TBL_008_Qs_Lot_1[Type]),0)), INDEX(#REF!, MATCH(1, (J28=#REF!)*("Question"=#REF!),0))))</f>
        <v>#REF!</v>
      </c>
      <c r="M28" s="429" t="e">
        <f t="shared" si="3"/>
        <v>#REF!</v>
      </c>
      <c r="O28" s="424">
        <v>4</v>
      </c>
      <c r="P28" s="427" t="s">
        <v>1092</v>
      </c>
      <c r="Q28" s="428" t="str">
        <f t="array" ref="Q28">IF(OR(Int_or_SV="Not applicable", Lotted?="No", No_Lots?&lt;2), "N/A", IF(IntSV_Same_Qs?="Yes", IF(IntSV_Qs_Lot_1&gt;=O28, INDEX(TBL_008_Qs_Lot_1[Max score], MATCH(1, (P28=TBL_008_Qs_Lot_1[Q.])*("Question"=TBL_008_Qs_Lot_1[Type]),0)), "N/A"), IF(IntSV_Qs_Lot_2&gt;=O28, INDEX(#REF!, MATCH(1, (P28=#REF!)*("Question"=#REF!),0)), "N/A")))</f>
        <v>N/A</v>
      </c>
      <c r="R28" s="428" t="str">
        <f t="array" ref="R28">IF(OR(IntSV_Weighted?="No", Q28="N/A", Q28=0), "N/A", IF(IntSV_Same_Qs?="Yes", INDEX(TBL_008_Qs_Lot_1[Weighting], MATCH(1, (P28=TBL_008_Qs_Lot_1[Q.])*("Question"=TBL_008_Qs_Lot_1[Type]),0)), INDEX(#REF!, MATCH(1, (P28=#REF!)*("Question"=#REF!),0))))</f>
        <v>N/A</v>
      </c>
      <c r="S28" s="429" t="str">
        <f>IF(R28="N/A", "Question not used", CONCATENATE("([Marks awarded for ", P28, "] / ", Q28, ".00) x ", R28, ".00"))</f>
        <v>Question not used</v>
      </c>
      <c r="T28" s="284" t="str">
        <f>IF(OR('Project Info'!$B$18="Open Procedure", 'Project Info'!$B$20="SQ"), IF(AND(Lotted?="Yes", No_Lots?&gt;=2), IF(Doc_Lot="All", IF(SQ_Same_Qs?="Yes", "Shade", ""), "Shade"), "Shade"), "Shade")</f>
        <v>Shade</v>
      </c>
      <c r="U28" s="284" t="str">
        <f>IF(OR('Project Info'!$B$20="SQ", Price_split=100), "Shade", IF(AND(Lotted?="Yes", No_Lots?&gt;=2), IF(Doc_Lot="All", IF(Tech_Same_Qs?="Yes", "Shade", ""), "Shade"), "Shade"))</f>
        <v>Shade</v>
      </c>
      <c r="V28" s="284" t="str">
        <f>IF(OR('Project Info'!$B$20="SQ", Price_split=100, Int_or_SV="Not applicable"), "Shade", IF(AND(Lotted?="Yes", No_Lots?&gt;=2), IF(Doc_Lot="All", IF(IntSV_Same_Qs?="Yes", "Shade", ""), "Shade"), "Shade"))</f>
        <v>Shade</v>
      </c>
    </row>
    <row r="29" spans="1:22" ht="14">
      <c r="A29" s="284">
        <v>3</v>
      </c>
      <c r="B29" s="284">
        <v>5</v>
      </c>
      <c r="C29" s="284">
        <f t="array" ref="C29">IF(INDEX(TBL_003_DocMerge[PAS_or_SQ?], MATCH(1, (Job_No=TBL_003_DocMerge[Job_No])*(Doc_Lot=TBL_003_DocMerge[Lot]),0))="SQ", A29, B29)</f>
        <v>3</v>
      </c>
      <c r="D29" s="427" t="s">
        <v>410</v>
      </c>
      <c r="E29" s="428" t="str">
        <f t="array" ref="E29">IF(AND(INDEX(TBL_003_DocMerge[PAS_or_SQ?], MATCH(1, (Job_No=TBL_003_DocMerge[Job_No])*(Doc_Lot=TBL_003_DocMerge[Lot]),0))="SQ", D29="Q6.2"), "N/A", IF(OR(Lotted?="No",No_Lots?&lt;2),"N/A", IF(SQ_Same_Qs?="Yes", IF(SQ_Qs_Lot_1&gt;=$C29, INDEX(TBL_008_Qs_Lot_1[Max score], MATCH(1, (SUBSTITUTE($D29, "*", "")=TBL_008_Qs_Lot_1[Q.])*("Question"=TBL_008_Qs_Lot_1[Type]),0)), "N/A"), IF(SQ_Qs_Lot_2&gt;=$C29, INDEX(#REF!, MATCH(1, (SUBSTITUTE($D29, "*", "")=#REF!)*("Question"=#REF!),0)), "N/A"))))</f>
        <v>N/A</v>
      </c>
      <c r="F29" s="428" t="str">
        <f t="array" ref="F29">IF(OR(SQ_Weighted?="No", $E29="N/A", $E29=0),"N/A",IF(SQ_Same_Qs?="Yes", INDEX(TBL_008_Qs_Lot_1[Weighting],MATCH(1,(SUBSTITUTE($D29,"*","")=TBL_008_Qs_Lot_1[Q.])*("Question"=TBL_008_Qs_Lot_1[Type]),0)), INDEX(#REF!,MATCH(1,(SUBSTITUTE($D29,"*","")=#REF!)*("Question"=#REF!),0))))</f>
        <v>N/A</v>
      </c>
      <c r="G29" s="429" t="str">
        <f t="shared" si="2"/>
        <v>Question not used</v>
      </c>
      <c r="I29" s="424">
        <v>5</v>
      </c>
      <c r="J29" s="427" t="s">
        <v>1083</v>
      </c>
      <c r="K29" s="428" t="e">
        <f t="array" ref="K29">IF(OR(Lotted?="No", No_Lots?&lt;2), "N/A", IF(Tech_Same_Qs?="Yes", IF(Tech_Qs_Lot_1&gt;=I29, INDEX(TBL_008_Qs_Lot_1[Max score], MATCH(1, (J29=TBL_008_Qs_Lot_1[Q.])*("Question"=TBL_008_Qs_Lot_1[Type]),0)), "N/A"), IF(Tech_Qs_Lot_2&gt;=I29, INDEX(#REF!, MATCH(1, (J29=#REF!)*("Question"=#REF!),0)), "N/A")))</f>
        <v>#REF!</v>
      </c>
      <c r="L29" s="428" t="e">
        <f t="array" ref="L29">IF(OR(Tech_Weighted?="No", K29="N/A", K29=0), "N/A", IF(Tech_Same_Qs?="Yes", INDEX(TBL_008_Qs_Lot_1[Weighting], MATCH(1, (J29=TBL_008_Qs_Lot_1[Q.])*("Question"=TBL_008_Qs_Lot_1[Type]),0)), INDEX(#REF!, MATCH(1, (J29=#REF!)*("Question"=#REF!),0))))</f>
        <v>#REF!</v>
      </c>
      <c r="M29" s="429" t="e">
        <f t="shared" si="3"/>
        <v>#REF!</v>
      </c>
      <c r="O29" s="424">
        <v>5</v>
      </c>
      <c r="P29" s="427" t="s">
        <v>1093</v>
      </c>
      <c r="Q29" s="428" t="str">
        <f t="array" ref="Q29">IF(OR(Int_or_SV="Not applicable", Lotted?="No", No_Lots?&lt;2), "N/A", IF(IntSV_Same_Qs?="Yes", IF(IntSV_Qs_Lot_1&gt;=O29, INDEX(TBL_008_Qs_Lot_1[Max score], MATCH(1, (P29=TBL_008_Qs_Lot_1[Q.])*("Question"=TBL_008_Qs_Lot_1[Type]),0)), "N/A"), IF(IntSV_Qs_Lot_2&gt;=O29, INDEX(#REF!, MATCH(1, (P29=#REF!)*("Question"=#REF!),0)), "N/A")))</f>
        <v>N/A</v>
      </c>
      <c r="R29" s="428" t="str">
        <f t="array" ref="R29">IF(OR(IntSV_Weighted?="No", Q29="N/A", Q29=0), "N/A", IF(IntSV_Same_Qs?="Yes", INDEX(TBL_008_Qs_Lot_1[Weighting], MATCH(1, (P29=TBL_008_Qs_Lot_1[Q.])*("Question"=TBL_008_Qs_Lot_1[Type]),0)), INDEX(#REF!, MATCH(1, (P29=#REF!)*("Question"=#REF!),0))))</f>
        <v>N/A</v>
      </c>
      <c r="S29" s="429" t="str">
        <f>IF(R29="N/A", "Question not used", CONCATENATE("([Marks awarded for ", P29, "] / ", Q29, ".00) x ", R29, ".00"))</f>
        <v>Question not used</v>
      </c>
      <c r="T29" s="284" t="str">
        <f>IF(OR('Project Info'!$B$18="Open Procedure", 'Project Info'!$B$20="SQ"), IF(AND(Lotted?="Yes", No_Lots?&gt;=2), IF(Doc_Lot="All", IF(SQ_Same_Qs?="Yes", "Shade", ""), "Shade"), "Shade"), "Shade")</f>
        <v>Shade</v>
      </c>
      <c r="U29" s="284" t="str">
        <f>IF(OR('Project Info'!$B$20="SQ", Price_split=100), "Shade", IF(AND(Lotted?="Yes", No_Lots?&gt;=2), IF(Doc_Lot="All", IF(Tech_Same_Qs?="Yes", "Shade", ""), "Shade"), "Shade"))</f>
        <v>Shade</v>
      </c>
      <c r="V29" s="284" t="str">
        <f>IF(OR('Project Info'!$B$20="SQ", Price_split=100, Int_or_SV="Not applicable"), "Shade", IF(AND(Lotted?="Yes", No_Lots?&gt;=2), IF(Doc_Lot="All", IF(IntSV_Same_Qs?="Yes", "Shade", ""), "Shade"), "Shade"))</f>
        <v>Shade</v>
      </c>
    </row>
    <row r="30" spans="1:22" ht="14">
      <c r="A30" s="284">
        <v>4</v>
      </c>
      <c r="B30" s="284">
        <v>6</v>
      </c>
      <c r="C30" s="284">
        <f t="array" ref="C30">IF(INDEX(TBL_003_DocMerge[PAS_or_SQ?], MATCH(1, (Job_No=TBL_003_DocMerge[Job_No])*(Doc_Lot=TBL_003_DocMerge[Lot]),0))="SQ", A30, B30)</f>
        <v>4</v>
      </c>
      <c r="D30" s="427" t="s">
        <v>421</v>
      </c>
      <c r="E30" s="428" t="str">
        <f t="array" ref="E30">IF(AND(INDEX(TBL_003_DocMerge[PAS_or_SQ?], MATCH(1, (Job_No=TBL_003_DocMerge[Job_No])*(Doc_Lot=TBL_003_DocMerge[Lot]),0))="SQ", D30="Q6.2"), "N/A", IF(OR(Lotted?="No",No_Lots?&lt;2),"N/A", IF(SQ_Same_Qs?="Yes", IF(SQ_Qs_Lot_1&gt;=$C30, INDEX(TBL_008_Qs_Lot_1[Max score], MATCH(1, (SUBSTITUTE($D30, "*", "")=TBL_008_Qs_Lot_1[Q.])*("Question"=TBL_008_Qs_Lot_1[Type]),0)), "N/A"), IF(SQ_Qs_Lot_2&gt;=$C30, INDEX(#REF!, MATCH(1, (SUBSTITUTE($D30, "*", "")=#REF!)*("Question"=#REF!),0)), "N/A"))))</f>
        <v>N/A</v>
      </c>
      <c r="F30" s="428" t="str">
        <f t="array" ref="F30">IF(OR(SQ_Weighted?="No", $E30="N/A", $E30=0),"N/A",IF(SQ_Same_Qs?="Yes", INDEX(TBL_008_Qs_Lot_1[Weighting],MATCH(1,(SUBSTITUTE($D30,"*","")=TBL_008_Qs_Lot_1[Q.])*("Question"=TBL_008_Qs_Lot_1[Type]),0)), INDEX(#REF!,MATCH(1,(SUBSTITUTE($D30,"*","")=#REF!)*("Question"=#REF!),0))))</f>
        <v>N/A</v>
      </c>
      <c r="G30" s="429" t="str">
        <f t="shared" si="2"/>
        <v>Question not used</v>
      </c>
      <c r="I30" s="424">
        <v>6</v>
      </c>
      <c r="J30" s="427" t="s">
        <v>1084</v>
      </c>
      <c r="K30" s="428" t="e">
        <f t="array" ref="K30">IF(OR(Lotted?="No", No_Lots?&lt;2), "N/A", IF(Tech_Same_Qs?="Yes", IF(Tech_Qs_Lot_1&gt;=I30, INDEX(TBL_008_Qs_Lot_1[Max score], MATCH(1, (J30=TBL_008_Qs_Lot_1[Q.])*("Question"=TBL_008_Qs_Lot_1[Type]),0)), "N/A"), IF(Tech_Qs_Lot_2&gt;=I30, INDEX(#REF!, MATCH(1, (J30=#REF!)*("Question"=#REF!),0)), "N/A")))</f>
        <v>#REF!</v>
      </c>
      <c r="L30" s="428" t="e">
        <f t="array" ref="L30">IF(OR(Tech_Weighted?="No", K30="N/A", K30=0), "N/A", IF(Tech_Same_Qs?="Yes", INDEX(TBL_008_Qs_Lot_1[Weighting], MATCH(1, (J30=TBL_008_Qs_Lot_1[Q.])*("Question"=TBL_008_Qs_Lot_1[Type]),0)), INDEX(#REF!, MATCH(1, (J30=#REF!)*("Question"=#REF!),0))))</f>
        <v>#REF!</v>
      </c>
      <c r="M30" s="429" t="e">
        <f t="shared" si="3"/>
        <v>#REF!</v>
      </c>
      <c r="P30" s="327" t="str">
        <f>IF(IntSV_Weighted?="Yes", "", "Total:")</f>
        <v>Total:</v>
      </c>
      <c r="Q30" s="431">
        <f>IF(IntSV_Weighted?="Yes", "Total:", SUM(Q25:Q29))</f>
        <v>0</v>
      </c>
      <c r="R30" s="324">
        <f>IF(OR(Int_or_SV="No", No_Lots?&lt;2), "N/A", IF(SUM(R25:R29)=IntSV_Weighting, SUM(R25:R29), "Error!"))</f>
        <v>0</v>
      </c>
      <c r="S30" s="325" t="s">
        <v>868</v>
      </c>
      <c r="T30" s="284" t="str">
        <f>IF(OR('Project Info'!$B$18="Open Procedure", 'Project Info'!$B$20="SQ"), IF(AND(Lotted?="Yes", No_Lots?&gt;=2), IF(Doc_Lot="All", IF(SQ_Same_Qs?="Yes", "Shade", ""), "Shade"), "Shade"), "Shade")</f>
        <v>Shade</v>
      </c>
      <c r="U30" s="284" t="str">
        <f>IF(OR('Project Info'!$B$20="SQ", Price_split=100), "Shade", IF(AND(Lotted?="Yes", No_Lots?&gt;=2), IF(Doc_Lot="All", IF(Tech_Same_Qs?="Yes", "Shade", ""), "Shade"), "Shade"))</f>
        <v>Shade</v>
      </c>
      <c r="V30" s="284" t="str">
        <f>IF(OR('Project Info'!$B$20="SQ", Price_split=100, Int_or_SV="Not applicable"), "Shade", IF(AND(Lotted?="Yes", No_Lots?&gt;=2), IF(Doc_Lot="All", IF(IntSV_Same_Qs?="Yes", "Shade", ""), "Shade"), "Shade"))</f>
        <v>Shade</v>
      </c>
    </row>
    <row r="31" spans="1:22" ht="14">
      <c r="A31" s="284">
        <v>5</v>
      </c>
      <c r="B31" s="284">
        <v>7</v>
      </c>
      <c r="C31" s="284">
        <f t="array" ref="C31">IF(INDEX(TBL_003_DocMerge[PAS_or_SQ?], MATCH(1, (Job_No=TBL_003_DocMerge[Job_No])*(Doc_Lot=TBL_003_DocMerge[Lot]),0))="SQ", A31, B31)</f>
        <v>5</v>
      </c>
      <c r="D31" s="427" t="s">
        <v>430</v>
      </c>
      <c r="E31" s="428" t="str">
        <f t="array" ref="E31">IF(AND(INDEX(TBL_003_DocMerge[PAS_or_SQ?], MATCH(1, (Job_No=TBL_003_DocMerge[Job_No])*(Doc_Lot=TBL_003_DocMerge[Lot]),0))="SQ", D31="Q6.2"), "N/A", IF(OR(Lotted?="No",No_Lots?&lt;2),"N/A", IF(SQ_Same_Qs?="Yes", IF(SQ_Qs_Lot_1&gt;=$C31, INDEX(TBL_008_Qs_Lot_1[Max score], MATCH(1, (SUBSTITUTE($D31, "*", "")=TBL_008_Qs_Lot_1[Q.])*("Question"=TBL_008_Qs_Lot_1[Type]),0)), "N/A"), IF(SQ_Qs_Lot_2&gt;=$C31, INDEX(#REF!, MATCH(1, (SUBSTITUTE($D31, "*", "")=#REF!)*("Question"=#REF!),0)), "N/A"))))</f>
        <v>N/A</v>
      </c>
      <c r="F31" s="428" t="str">
        <f t="array" ref="F31">IF(OR(SQ_Weighted?="No", $E31="N/A", $E31=0),"N/A",IF(SQ_Same_Qs?="Yes", INDEX(TBL_008_Qs_Lot_1[Weighting],MATCH(1,(SUBSTITUTE($D31,"*","")=TBL_008_Qs_Lot_1[Q.])*("Question"=TBL_008_Qs_Lot_1[Type]),0)), INDEX(#REF!,MATCH(1,(SUBSTITUTE($D31,"*","")=#REF!)*("Question"=#REF!),0))))</f>
        <v>N/A</v>
      </c>
      <c r="G31" s="429" t="str">
        <f t="shared" si="2"/>
        <v>Question not used</v>
      </c>
      <c r="I31" s="424">
        <v>7</v>
      </c>
      <c r="J31" s="427" t="s">
        <v>1085</v>
      </c>
      <c r="K31" s="428" t="e">
        <f t="array" ref="K31">IF(OR(Lotted?="No", No_Lots?&lt;2), "N/A", IF(Tech_Same_Qs?="Yes", IF(Tech_Qs_Lot_1&gt;=I31, INDEX(TBL_008_Qs_Lot_1[Max score], MATCH(1, (J31=TBL_008_Qs_Lot_1[Q.])*("Question"=TBL_008_Qs_Lot_1[Type]),0)), "N/A"), IF(Tech_Qs_Lot_2&gt;=I31, INDEX(#REF!, MATCH(1, (J31=#REF!)*("Question"=#REF!),0)), "N/A")))</f>
        <v>#REF!</v>
      </c>
      <c r="L31" s="428" t="e">
        <f t="array" ref="L31">IF(OR(Tech_Weighted?="No", K31="N/A", K31=0), "N/A", IF(Tech_Same_Qs?="Yes", INDEX(TBL_008_Qs_Lot_1[Weighting], MATCH(1, (J31=TBL_008_Qs_Lot_1[Q.])*("Question"=TBL_008_Qs_Lot_1[Type]),0)), INDEX(#REF!, MATCH(1, (J31=#REF!)*("Question"=#REF!),0))))</f>
        <v>#REF!</v>
      </c>
      <c r="M31" s="429" t="e">
        <f t="shared" si="3"/>
        <v>#REF!</v>
      </c>
      <c r="P31" s="432"/>
      <c r="Q31" s="433"/>
      <c r="R31" s="433"/>
      <c r="S31" s="434"/>
      <c r="T31" s="284" t="str">
        <f>IF(OR('Project Info'!$B$18="Open Procedure", 'Project Info'!$B$20="SQ"), IF(AND(Lotted?="Yes", No_Lots?&gt;=2), IF(Doc_Lot="All", IF(SQ_Same_Qs?="Yes", "Shade", ""), "Shade"), "Shade"), "Shade")</f>
        <v>Shade</v>
      </c>
      <c r="U31" s="284" t="str">
        <f>IF(OR('Project Info'!$B$20="SQ", Price_split=100), "Shade", IF(AND(Lotted?="Yes", No_Lots?&gt;=2), IF(Doc_Lot="All", IF(Tech_Same_Qs?="Yes", "Shade", ""), "Shade"), "Shade"))</f>
        <v>Shade</v>
      </c>
      <c r="V31" s="284" t="str">
        <f>IF(OR('Project Info'!$B$20="SQ", Price_split=100, Int_or_SV="Not applicable"), "Shade", IF(AND(Lotted?="Yes", No_Lots?&gt;=2), IF(Doc_Lot="All", IF(IntSV_Same_Qs?="Yes", "Shade", ""), "Shade"), "Shade"))</f>
        <v>Shade</v>
      </c>
    </row>
    <row r="32" spans="1:22" ht="14">
      <c r="A32" s="284">
        <v>6</v>
      </c>
      <c r="B32" s="284">
        <v>8</v>
      </c>
      <c r="C32" s="284">
        <f t="array" ref="C32">IF(INDEX(TBL_003_DocMerge[PAS_or_SQ?], MATCH(1, (Job_No=TBL_003_DocMerge[Job_No])*(Doc_Lot=TBL_003_DocMerge[Lot]),0))="SQ", A32, B32)</f>
        <v>6</v>
      </c>
      <c r="D32" s="427" t="s">
        <v>441</v>
      </c>
      <c r="E32" s="428" t="str">
        <f t="array" ref="E32">IF(AND(INDEX(TBL_003_DocMerge[PAS_or_SQ?], MATCH(1, (Job_No=TBL_003_DocMerge[Job_No])*(Doc_Lot=TBL_003_DocMerge[Lot]),0))="SQ", D32="Q6.2"), "N/A", IF(OR(Lotted?="No",No_Lots?&lt;2),"N/A", IF(SQ_Same_Qs?="Yes", IF(SQ_Qs_Lot_1&gt;=$C32, INDEX(TBL_008_Qs_Lot_1[Max score], MATCH(1, (SUBSTITUTE($D32, "*", "")=TBL_008_Qs_Lot_1[Q.])*("Question"=TBL_008_Qs_Lot_1[Type]),0)), "N/A"), IF(SQ_Qs_Lot_2&gt;=$C32, INDEX(#REF!, MATCH(1, (SUBSTITUTE($D32, "*", "")=#REF!)*("Question"=#REF!),0)), "N/A"))))</f>
        <v>N/A</v>
      </c>
      <c r="F32" s="428" t="str">
        <f t="array" ref="F32">IF(OR(SQ_Weighted?="No", $E32="N/A", $E32=0),"N/A",IF(SQ_Same_Qs?="Yes", INDEX(TBL_008_Qs_Lot_1[Weighting],MATCH(1,(SUBSTITUTE($D32,"*","")=TBL_008_Qs_Lot_1[Q.])*("Question"=TBL_008_Qs_Lot_1[Type]),0)), INDEX(#REF!,MATCH(1,(SUBSTITUTE($D32,"*","")=#REF!)*("Question"=#REF!),0))))</f>
        <v>N/A</v>
      </c>
      <c r="G32" s="429" t="str">
        <f t="shared" si="2"/>
        <v>Question not used</v>
      </c>
      <c r="I32" s="424">
        <v>8</v>
      </c>
      <c r="J32" s="427" t="s">
        <v>1086</v>
      </c>
      <c r="K32" s="428" t="e">
        <f t="array" ref="K32">IF(OR(Lotted?="No", No_Lots?&lt;2), "N/A", IF(Tech_Same_Qs?="Yes", IF(Tech_Qs_Lot_1&gt;=I32, INDEX(TBL_008_Qs_Lot_1[Max score], MATCH(1, (J32=TBL_008_Qs_Lot_1[Q.])*("Question"=TBL_008_Qs_Lot_1[Type]),0)), "N/A"), IF(Tech_Qs_Lot_2&gt;=I32, INDEX(#REF!, MATCH(1, (J32=#REF!)*("Question"=#REF!),0)), "N/A")))</f>
        <v>#REF!</v>
      </c>
      <c r="L32" s="428" t="e">
        <f t="array" ref="L32">IF(OR(Tech_Weighted?="No", K32="N/A", K32=0), "N/A", IF(Tech_Same_Qs?="Yes", INDEX(TBL_008_Qs_Lot_1[Weighting], MATCH(1, (J32=TBL_008_Qs_Lot_1[Q.])*("Question"=TBL_008_Qs_Lot_1[Type]),0)), INDEX(#REF!, MATCH(1, (J32=#REF!)*("Question"=#REF!),0))))</f>
        <v>#REF!</v>
      </c>
      <c r="M32" s="429" t="e">
        <f t="shared" si="3"/>
        <v>#REF!</v>
      </c>
      <c r="P32" s="432"/>
      <c r="Q32" s="433"/>
      <c r="R32" s="433"/>
      <c r="S32" s="434"/>
      <c r="T32" s="284" t="str">
        <f>IF(OR('Project Info'!$B$18="Open Procedure", 'Project Info'!$B$20="SQ"), IF(AND(Lotted?="Yes", No_Lots?&gt;=2), IF(Doc_Lot="All", IF(SQ_Same_Qs?="Yes", "Shade", ""), "Shade"), "Shade"), "Shade")</f>
        <v>Shade</v>
      </c>
      <c r="U32" s="284" t="str">
        <f>IF(OR('Project Info'!$B$20="SQ", Price_split=100), "Shade", IF(AND(Lotted?="Yes", No_Lots?&gt;=2), IF(Doc_Lot="All", IF(Tech_Same_Qs?="Yes", "Shade", ""), "Shade"), "Shade"))</f>
        <v>Shade</v>
      </c>
      <c r="V32" s="284" t="str">
        <f>IF(OR('Project Info'!$B$20="SQ", Price_split=100, Int_or_SV="Not applicable"), "Shade", IF(AND(Lotted?="Yes", No_Lots?&gt;=2), IF(Doc_Lot="All", IF(IntSV_Same_Qs?="Yes", "Shade", ""), "Shade"), "Shade"))</f>
        <v>Shade</v>
      </c>
    </row>
    <row r="33" spans="1:22" ht="14">
      <c r="A33" s="284">
        <v>7</v>
      </c>
      <c r="B33" s="284">
        <v>9</v>
      </c>
      <c r="C33" s="284">
        <f t="array" ref="C33">IF(INDEX(TBL_003_DocMerge[PAS_or_SQ?], MATCH(1, (Job_No=TBL_003_DocMerge[Job_No])*(Doc_Lot=TBL_003_DocMerge[Lot]),0))="SQ", A33, B33)</f>
        <v>7</v>
      </c>
      <c r="D33" s="427" t="s">
        <v>697</v>
      </c>
      <c r="E33" s="428" t="str">
        <f t="array" ref="E33">IF(AND(INDEX(TBL_003_DocMerge[PAS_or_SQ?], MATCH(1, (Job_No=TBL_003_DocMerge[Job_No])*(Doc_Lot=TBL_003_DocMerge[Lot]),0))="SQ", D33="Q6.2"), "N/A", IF(OR(Lotted?="No",No_Lots?&lt;2),"N/A", IF(SQ_Same_Qs?="Yes", IF(SQ_Qs_Lot_1&gt;=$C33, INDEX(TBL_008_Qs_Lot_1[Max score], MATCH(1, (SUBSTITUTE($D33, "*", "")=TBL_008_Qs_Lot_1[Q.])*("Question"=TBL_008_Qs_Lot_1[Type]),0)), "N/A"), IF(SQ_Qs_Lot_2&gt;=$C33, INDEX(#REF!, MATCH(1, (SUBSTITUTE($D33, "*", "")=#REF!)*("Question"=#REF!),0)), "N/A"))))</f>
        <v>N/A</v>
      </c>
      <c r="F33" s="428" t="str">
        <f t="array" ref="F33">IF(OR(SQ_Weighted?="No", $E33="N/A", $E33=0),"N/A",IF(SQ_Same_Qs?="Yes", INDEX(TBL_008_Qs_Lot_1[Weighting],MATCH(1,(SUBSTITUTE($D33,"*","")=TBL_008_Qs_Lot_1[Q.])*("Question"=TBL_008_Qs_Lot_1[Type]),0)), INDEX(#REF!,MATCH(1,(SUBSTITUTE($D33,"*","")=#REF!)*("Question"=#REF!),0))))</f>
        <v>N/A</v>
      </c>
      <c r="G33" s="429" t="str">
        <f t="shared" si="2"/>
        <v>Question not used</v>
      </c>
      <c r="I33" s="424">
        <v>9</v>
      </c>
      <c r="J33" s="427" t="s">
        <v>1087</v>
      </c>
      <c r="K33" s="428" t="e">
        <f t="array" ref="K33">IF(OR(Lotted?="No", No_Lots?&lt;2), "N/A", IF(Tech_Same_Qs?="Yes", IF(Tech_Qs_Lot_1&gt;=I33, INDEX(TBL_008_Qs_Lot_1[Max score], MATCH(1, (J33=TBL_008_Qs_Lot_1[Q.])*("Question"=TBL_008_Qs_Lot_1[Type]),0)), "N/A"), IF(Tech_Qs_Lot_2&gt;=I33, INDEX(#REF!, MATCH(1, (J33=#REF!)*("Question"=#REF!),0)), "N/A")))</f>
        <v>#REF!</v>
      </c>
      <c r="L33" s="428" t="e">
        <f t="array" ref="L33">IF(OR(Tech_Weighted?="No", K33="N/A", K33=0), "N/A", IF(Tech_Same_Qs?="Yes", INDEX(TBL_008_Qs_Lot_1[Weighting], MATCH(1, (J33=TBL_008_Qs_Lot_1[Q.])*("Question"=TBL_008_Qs_Lot_1[Type]),0)), INDEX(#REF!, MATCH(1, (J33=#REF!)*("Question"=#REF!),0))))</f>
        <v>#REF!</v>
      </c>
      <c r="M33" s="429" t="e">
        <f t="shared" si="3"/>
        <v>#REF!</v>
      </c>
      <c r="P33" s="432"/>
      <c r="Q33" s="433"/>
      <c r="R33" s="433"/>
      <c r="S33" s="434"/>
      <c r="T33" s="284" t="str">
        <f>IF(OR('Project Info'!$B$18="Open Procedure", 'Project Info'!$B$20="SQ"), IF(AND(Lotted?="Yes", No_Lots?&gt;=2), IF(Doc_Lot="All", IF(SQ_Same_Qs?="Yes", "Shade", ""), "Shade"), "Shade"), "Shade")</f>
        <v>Shade</v>
      </c>
      <c r="U33" s="284" t="str">
        <f>IF(OR('Project Info'!$B$20="SQ", Price_split=100), "Shade", IF(AND(Lotted?="Yes", No_Lots?&gt;=2), IF(Doc_Lot="All", IF(Tech_Same_Qs?="Yes", "Shade", ""), "Shade"), "Shade"))</f>
        <v>Shade</v>
      </c>
      <c r="V33" s="284" t="str">
        <f>IF(OR('Project Info'!$B$20="SQ", Price_split=100, Int_or_SV="Not applicable"), "Shade", IF(AND(Lotted?="Yes", No_Lots?&gt;=2), IF(Doc_Lot="All", IF(IntSV_Same_Qs?="Yes", "Shade", ""), "Shade"), "Shade"))</f>
        <v>Shade</v>
      </c>
    </row>
    <row r="34" spans="1:22" ht="14">
      <c r="A34" s="284">
        <v>8</v>
      </c>
      <c r="B34" s="284">
        <v>10</v>
      </c>
      <c r="C34" s="284">
        <f t="array" ref="C34">IF(INDEX(TBL_003_DocMerge[PAS_or_SQ?], MATCH(1, (Job_No=TBL_003_DocMerge[Job_No])*(Doc_Lot=TBL_003_DocMerge[Lot]),0))="SQ", A34, B34)</f>
        <v>8</v>
      </c>
      <c r="D34" s="427" t="s">
        <v>708</v>
      </c>
      <c r="E34" s="428" t="str">
        <f t="array" ref="E34">IF(AND(INDEX(TBL_003_DocMerge[PAS_or_SQ?], MATCH(1, (Job_No=TBL_003_DocMerge[Job_No])*(Doc_Lot=TBL_003_DocMerge[Lot]),0))="SQ", D34="Q6.2"), "N/A", IF(OR(Lotted?="No",No_Lots?&lt;2),"N/A", IF(SQ_Same_Qs?="Yes", IF(SQ_Qs_Lot_1&gt;=$C34, INDEX(TBL_008_Qs_Lot_1[Max score], MATCH(1, (SUBSTITUTE($D34, "*", "")=TBL_008_Qs_Lot_1[Q.])*("Question"=TBL_008_Qs_Lot_1[Type]),0)), "N/A"), IF(SQ_Qs_Lot_2&gt;=$C34, INDEX(#REF!, MATCH(1, (SUBSTITUTE($D34, "*", "")=#REF!)*("Question"=#REF!),0)), "N/A"))))</f>
        <v>N/A</v>
      </c>
      <c r="F34" s="428" t="str">
        <f t="array" ref="F34">IF(OR(SQ_Weighted?="No", $E34="N/A", $E34=0),"N/A",IF(SQ_Same_Qs?="Yes", INDEX(TBL_008_Qs_Lot_1[Weighting],MATCH(1,(SUBSTITUTE($D34,"*","")=TBL_008_Qs_Lot_1[Q.])*("Question"=TBL_008_Qs_Lot_1[Type]),0)), INDEX(#REF!,MATCH(1,(SUBSTITUTE($D34,"*","")=#REF!)*("Question"=#REF!),0))))</f>
        <v>N/A</v>
      </c>
      <c r="G34" s="429" t="str">
        <f t="shared" si="2"/>
        <v>Question not used</v>
      </c>
      <c r="I34" s="424">
        <v>10</v>
      </c>
      <c r="J34" s="427" t="s">
        <v>1088</v>
      </c>
      <c r="K34" s="428" t="e">
        <f t="array" ref="K34">IF(OR(Lotted?="No", No_Lots?&lt;2), "N/A", IF(Tech_Same_Qs?="Yes", IF(Tech_Qs_Lot_1&gt;=I34, INDEX(TBL_008_Qs_Lot_1[Max score], MATCH(1, (J34=TBL_008_Qs_Lot_1[Q.])*("Question"=TBL_008_Qs_Lot_1[Type]),0)), "N/A"), IF(Tech_Qs_Lot_2&gt;=I34, INDEX(#REF!, MATCH(1, (J34=#REF!)*("Question"=#REF!),0)), "N/A")))</f>
        <v>#REF!</v>
      </c>
      <c r="L34" s="428" t="e">
        <f t="array" ref="L34">IF(OR(Tech_Weighted?="No", K34="N/A", K34=0), "N/A", IF(Tech_Same_Qs?="Yes", INDEX(TBL_008_Qs_Lot_1[Weighting], MATCH(1, (J34=TBL_008_Qs_Lot_1[Q.])*("Question"=TBL_008_Qs_Lot_1[Type]),0)), INDEX(#REF!, MATCH(1, (J34=#REF!)*("Question"=#REF!),0))))</f>
        <v>#REF!</v>
      </c>
      <c r="M34" s="429" t="e">
        <f t="shared" si="3"/>
        <v>#REF!</v>
      </c>
      <c r="P34" s="432"/>
      <c r="Q34" s="433"/>
      <c r="R34" s="433"/>
      <c r="S34" s="434"/>
      <c r="T34" s="284" t="str">
        <f>IF(OR('Project Info'!$B$18="Open Procedure", 'Project Info'!$B$20="SQ"), IF(AND(Lotted?="Yes", No_Lots?&gt;=2), IF(Doc_Lot="All", IF(SQ_Same_Qs?="Yes", "Shade", ""), "Shade"), "Shade"), "Shade")</f>
        <v>Shade</v>
      </c>
      <c r="U34" s="284" t="str">
        <f>IF(OR('Project Info'!$B$20="SQ", Price_split=100), "Shade", IF(AND(Lotted?="Yes", No_Lots?&gt;=2), IF(Doc_Lot="All", IF(Tech_Same_Qs?="Yes", "Shade", ""), "Shade"), "Shade"))</f>
        <v>Shade</v>
      </c>
      <c r="V34" s="284" t="str">
        <f>IF(OR('Project Info'!$B$20="SQ", Price_split=100, Int_or_SV="Not applicable"), "Shade", IF(AND(Lotted?="Yes", No_Lots?&gt;=2), IF(Doc_Lot="All", IF(IntSV_Same_Qs?="Yes", "Shade", ""), "Shade"), "Shade"))</f>
        <v>Shade</v>
      </c>
    </row>
    <row r="35" spans="1:22" ht="14">
      <c r="A35" s="284">
        <v>9</v>
      </c>
      <c r="B35" s="284">
        <v>11</v>
      </c>
      <c r="C35" s="284">
        <f t="array" ref="C35">IF(INDEX(TBL_003_DocMerge[PAS_or_SQ?], MATCH(1, (Job_No=TBL_003_DocMerge[Job_No])*(Doc_Lot=TBL_003_DocMerge[Lot]),0))="SQ", A35, B35)</f>
        <v>9</v>
      </c>
      <c r="D35" s="427" t="s">
        <v>719</v>
      </c>
      <c r="E35" s="428" t="str">
        <f t="array" ref="E35">IF(AND(INDEX(TBL_003_DocMerge[PAS_or_SQ?], MATCH(1, (Job_No=TBL_003_DocMerge[Job_No])*(Doc_Lot=TBL_003_DocMerge[Lot]),0))="SQ", D35="Q6.2"), "N/A", IF(OR(Lotted?="No",No_Lots?&lt;2),"N/A", IF(SQ_Same_Qs?="Yes", IF(SQ_Qs_Lot_1&gt;=$C35, INDEX(TBL_008_Qs_Lot_1[Max score], MATCH(1, (SUBSTITUTE($D35, "*", "")=TBL_008_Qs_Lot_1[Q.])*("Question"=TBL_008_Qs_Lot_1[Type]),0)), "N/A"), IF(SQ_Qs_Lot_2&gt;=$C35, INDEX(#REF!, MATCH(1, (SUBSTITUTE($D35, "*", "")=#REF!)*("Question"=#REF!),0)), "N/A"))))</f>
        <v>N/A</v>
      </c>
      <c r="F35" s="428" t="str">
        <f t="array" ref="F35">IF(OR(SQ_Weighted?="No", $E35="N/A", $E35=0),"N/A",IF(SQ_Same_Qs?="Yes", INDEX(TBL_008_Qs_Lot_1[Weighting],MATCH(1,(SUBSTITUTE($D35,"*","")=TBL_008_Qs_Lot_1[Q.])*("Question"=TBL_008_Qs_Lot_1[Type]),0)), INDEX(#REF!,MATCH(1,(SUBSTITUTE($D35,"*","")=#REF!)*("Question"=#REF!),0))))</f>
        <v>N/A</v>
      </c>
      <c r="G35" s="429" t="str">
        <f t="shared" si="2"/>
        <v>Question not used</v>
      </c>
      <c r="J35" s="327" t="str">
        <f>IF(Tech_Weighted?="Yes", "", "Total:")</f>
        <v>Total:</v>
      </c>
      <c r="K35" s="431" t="e">
        <f>IF(Tech_Weighted?="Yes", "Total:", SUM(K25:K34))</f>
        <v>#REF!</v>
      </c>
      <c r="L35" s="324" t="e">
        <f>IF(No_Lots?&gt;=2, IF(SUM(L25:L34)=Tech_Weighting, SUM(L25:L34), "Error!"), "N/A")</f>
        <v>#REF!</v>
      </c>
      <c r="M35" s="325" t="s">
        <v>868</v>
      </c>
      <c r="Q35" s="424"/>
      <c r="R35" s="424"/>
      <c r="S35" s="424"/>
      <c r="T35" s="284" t="str">
        <f>IF(OR('Project Info'!$B$18="Open Procedure", 'Project Info'!$B$20="SQ"), IF(AND(Lotted?="Yes", No_Lots?&gt;=2), IF(Doc_Lot="All", IF(SQ_Same_Qs?="Yes", "Shade", ""), "Shade"), "Shade"), "Shade")</f>
        <v>Shade</v>
      </c>
      <c r="U35" s="284" t="str">
        <f>IF(OR('Project Info'!$B$20="SQ", Price_split=100), "Shade", IF(AND(Lotted?="Yes", No_Lots?&gt;=2), IF(Doc_Lot="All", IF(Tech_Same_Qs?="Yes", "Shade", ""), "Shade"), "Shade"))</f>
        <v>Shade</v>
      </c>
      <c r="V35" s="284" t="str">
        <f>IF(OR('Project Info'!$B$20="SQ", Price_split=100, Int_or_SV="Not applicable"), "Shade", IF(AND(Lotted?="Yes", No_Lots?&gt;=2), IF(Doc_Lot="All", IF(IntSV_Same_Qs?="Yes", "Shade", ""), "Shade"), "Shade"))</f>
        <v>Shade</v>
      </c>
    </row>
    <row r="36" spans="1:22" ht="14">
      <c r="A36" s="284">
        <v>10</v>
      </c>
      <c r="B36" s="284">
        <v>12</v>
      </c>
      <c r="C36" s="284">
        <f t="array" ref="C36">IF(INDEX(TBL_003_DocMerge[PAS_or_SQ?], MATCH(1, (Job_No=TBL_003_DocMerge[Job_No])*(Doc_Lot=TBL_003_DocMerge[Lot]),0))="SQ", A36, B36)</f>
        <v>10</v>
      </c>
      <c r="D36" s="427" t="s">
        <v>730</v>
      </c>
      <c r="E36" s="428" t="str">
        <f t="array" ref="E36">IF(AND(INDEX(TBL_003_DocMerge[PAS_or_SQ?], MATCH(1, (Job_No=TBL_003_DocMerge[Job_No])*(Doc_Lot=TBL_003_DocMerge[Lot]),0))="SQ", D36="Q6.2"), "N/A", IF(OR(Lotted?="No",No_Lots?&lt;2),"N/A", IF(SQ_Same_Qs?="Yes", IF(SQ_Qs_Lot_1&gt;=$C36, INDEX(TBL_008_Qs_Lot_1[Max score], MATCH(1, (SUBSTITUTE($D36, "*", "")=TBL_008_Qs_Lot_1[Q.])*("Question"=TBL_008_Qs_Lot_1[Type]),0)), "N/A"), IF(SQ_Qs_Lot_2&gt;=$C36, INDEX(#REF!, MATCH(1, (SUBSTITUTE($D36, "*", "")=#REF!)*("Question"=#REF!),0)), "N/A"))))</f>
        <v>N/A</v>
      </c>
      <c r="F36" s="428" t="str">
        <f t="array" ref="F36">IF(OR(SQ_Weighted?="No", $E36="N/A", $E36=0),"N/A",IF(SQ_Same_Qs?="Yes", INDEX(TBL_008_Qs_Lot_1[Weighting],MATCH(1,(SUBSTITUTE($D36,"*","")=TBL_008_Qs_Lot_1[Q.])*("Question"=TBL_008_Qs_Lot_1[Type]),0)), INDEX(#REF!,MATCH(1,(SUBSTITUTE($D36,"*","")=#REF!)*("Question"=#REF!),0))))</f>
        <v>N/A</v>
      </c>
      <c r="G36" s="429" t="str">
        <f t="shared" si="2"/>
        <v>Question not used</v>
      </c>
      <c r="T36" s="284" t="str">
        <f>IF(OR('Project Info'!$B$18="Open Procedure", 'Project Info'!$B$20="SQ"), IF(AND(Lotted?="Yes", No_Lots?&gt;=2), IF(Doc_Lot="All", IF(SQ_Same_Qs?="Yes", "Shade", ""), "Shade"), "Shade"), "Shade")</f>
        <v>Shade</v>
      </c>
      <c r="U36" s="284" t="str">
        <f>IF(OR('Project Info'!$B$20="SQ", Price_split=100), "Shade", IF(AND(Lotted?="Yes", No_Lots?&gt;=2), IF(Doc_Lot="All", IF(Tech_Same_Qs?="Yes", "Shade", ""), "Shade"), "Shade"))</f>
        <v>Shade</v>
      </c>
      <c r="V36" s="284" t="str">
        <f>IF(OR('Project Info'!$B$20="SQ", Price_split=100, Int_or_SV="Not applicable"), "Shade", IF(AND(Lotted?="Yes", No_Lots?&gt;=2), IF(Doc_Lot="All", IF(IntSV_Same_Qs?="Yes", "Shade", ""), "Shade"), "Shade"))</f>
        <v>Shade</v>
      </c>
    </row>
    <row r="37" spans="1:22" ht="14">
      <c r="A37" s="284">
        <v>11</v>
      </c>
      <c r="B37" s="284">
        <v>13</v>
      </c>
      <c r="C37" s="284">
        <f t="array" ref="C37">IF(INDEX(TBL_003_DocMerge[PAS_or_SQ?], MATCH(1, (Job_No=TBL_003_DocMerge[Job_No])*(Doc_Lot=TBL_003_DocMerge[Lot]),0))="SQ", A37, B37)</f>
        <v>11</v>
      </c>
      <c r="D37" s="427" t="s">
        <v>741</v>
      </c>
      <c r="E37" s="428" t="str">
        <f t="array" ref="E37">IF(AND(INDEX(TBL_003_DocMerge[PAS_or_SQ?], MATCH(1, (Job_No=TBL_003_DocMerge[Job_No])*(Doc_Lot=TBL_003_DocMerge[Lot]),0))="SQ", D37="Q6.2"), "N/A", IF(OR(Lotted?="No",No_Lots?&lt;2),"N/A", IF(SQ_Same_Qs?="Yes", IF(SQ_Qs_Lot_1&gt;=$C37, INDEX(TBL_008_Qs_Lot_1[Max score], MATCH(1, (SUBSTITUTE($D37, "*", "")=TBL_008_Qs_Lot_1[Q.])*("Question"=TBL_008_Qs_Lot_1[Type]),0)), "N/A"), IF(SQ_Qs_Lot_2&gt;=$C37, INDEX(#REF!, MATCH(1, (SUBSTITUTE($D37, "*", "")=#REF!)*("Question"=#REF!),0)), "N/A"))))</f>
        <v>N/A</v>
      </c>
      <c r="F37" s="428" t="str">
        <f t="array" ref="F37">IF(OR(SQ_Weighted?="No", $E37="N/A", $E37=0),"N/A",IF(SQ_Same_Qs?="Yes", INDEX(TBL_008_Qs_Lot_1[Weighting],MATCH(1,(SUBSTITUTE($D37,"*","")=TBL_008_Qs_Lot_1[Q.])*("Question"=TBL_008_Qs_Lot_1[Type]),0)), INDEX(#REF!,MATCH(1,(SUBSTITUTE($D37,"*","")=#REF!)*("Question"=#REF!),0))))</f>
        <v>N/A</v>
      </c>
      <c r="G37" s="429" t="str">
        <f t="shared" si="2"/>
        <v>Question not used</v>
      </c>
      <c r="T37" s="284" t="str">
        <f>IF(OR('Project Info'!$B$18="Open Procedure", 'Project Info'!$B$20="SQ"), IF(AND(Lotted?="Yes", No_Lots?&gt;=2), IF(Doc_Lot="All", IF(SQ_Same_Qs?="Yes", "Shade", ""), "Shade"), "Shade"), "Shade")</f>
        <v>Shade</v>
      </c>
      <c r="U37" s="284" t="str">
        <f>IF(OR('Project Info'!$B$20="SQ", Price_split=100), "Shade", IF(AND(Lotted?="Yes", No_Lots?&gt;=2), IF(Doc_Lot="All", IF(Tech_Same_Qs?="Yes", "Shade", ""), "Shade"), "Shade"))</f>
        <v>Shade</v>
      </c>
      <c r="V37" s="284" t="str">
        <f>IF(OR('Project Info'!$B$20="SQ", Price_split=100, Int_or_SV="Not applicable"), "Shade", IF(AND(Lotted?="Yes", No_Lots?&gt;=2), IF(Doc_Lot="All", IF(IntSV_Same_Qs?="Yes", "Shade", ""), "Shade"), "Shade"))</f>
        <v>Shade</v>
      </c>
    </row>
    <row r="38" spans="1:22" ht="14">
      <c r="D38" s="327" t="str">
        <f>IF(SQ_Weighted?="Yes", "", "Total:")</f>
        <v>Total:</v>
      </c>
      <c r="E38" s="431">
        <f>IF(SQ_Weighted?="Yes", "Total:", SUM(E25:E37))</f>
        <v>20</v>
      </c>
      <c r="F38" s="324" t="str">
        <f>IF(SQ_Weighted?="Yes", IF(OR(Lotted?="No",No_Lots?&lt;2),"N/A", IF((SUM(F25:F37)-F27)=100, 100, "Error!")),"N/A")</f>
        <v>N/A</v>
      </c>
      <c r="G38" s="325" t="s">
        <v>868</v>
      </c>
      <c r="T38" s="284" t="str">
        <f>IF(OR('Project Info'!$B$18="Open Procedure", 'Project Info'!$B$20="SQ"), IF(AND(Lotted?="Yes", No_Lots?&gt;=2), IF(Doc_Lot="All", IF(SQ_Same_Qs?="Yes", "Shade", ""), "Shade"), "Shade"), "Shade")</f>
        <v>Shade</v>
      </c>
      <c r="U38" s="284" t="str">
        <f>IF(OR('Project Info'!$B$20="SQ", Price_split=100), "Shade", IF(AND(Lotted?="Yes", No_Lots?&gt;=2), IF(Doc_Lot="All", IF(Tech_Same_Qs?="Yes", "Shade", ""), "Shade"), "Shade"))</f>
        <v>Shade</v>
      </c>
      <c r="V38" s="284" t="str">
        <f>IF(OR('Project Info'!$B$20="SQ", Price_split=100, Int_or_SV="Not applicable"), "Shade", IF(AND(Lotted?="Yes", No_Lots?&gt;=2), IF(Doc_Lot="All", IF(IntSV_Same_Qs?="Yes", "Shade", ""), "Shade"), "Shade"))</f>
        <v>Shade</v>
      </c>
    </row>
    <row r="39" spans="1:22">
      <c r="E39" s="425"/>
      <c r="F39" s="425"/>
      <c r="G39" s="426"/>
    </row>
    <row r="40" spans="1:22">
      <c r="E40" s="425"/>
      <c r="F40" s="425"/>
      <c r="G40" s="426"/>
    </row>
    <row r="41" spans="1:22" ht="14">
      <c r="D41" s="330" t="str">
        <f>IF(AND(Lotted?="Yes", No_Lots?&gt;=3), "Lot 3:", "")</f>
        <v>Lot 3:</v>
      </c>
      <c r="E41" s="329" t="e">
        <f>IF(AND(Lotted?="Yes", No_Lots?&gt;=3), TBL_003_DocMerge[Lot_3_Name], "Ignore this table")</f>
        <v>#VALUE!</v>
      </c>
      <c r="F41" s="320"/>
      <c r="G41" s="319"/>
      <c r="J41" s="330" t="str">
        <f>IF(AND(Lotted?="Yes", No_Lots?&gt;=3), "Lot 3:", "")</f>
        <v>Lot 3:</v>
      </c>
      <c r="K41" s="329" t="e">
        <f>IF(AND(Lotted?="Yes", No_Lots?&gt;=3), TBL_003_DocMerge[Lot_3_Name], "Ignore this table")</f>
        <v>#VALUE!</v>
      </c>
      <c r="L41" s="320"/>
      <c r="M41" s="319"/>
      <c r="P41" s="330" t="str">
        <f>IF(AND(Lotted?="Yes", No_Lots?&gt;=3), "Lot 3:", "")</f>
        <v>Lot 3:</v>
      </c>
      <c r="Q41" s="329" t="e">
        <f>IF(AND(Lotted?="Yes", No_Lots?&gt;=3), TBL_003_DocMerge[Lot_3_Name], "Ignore this table")</f>
        <v>#VALUE!</v>
      </c>
      <c r="R41" s="320"/>
      <c r="S41" s="319"/>
      <c r="T41" s="284" t="str">
        <f>IF(OR('Project Info'!$B$18="Open Procedure", 'Project Info'!$B$20="SQ"), IF(AND(Lotted?="Yes", No_Lots?&gt;=3), IF(Doc_Lot="All", IF(SQ_Same_Qs?="Yes", "Shade", ""), "Shade"), "Shade"), "Shade")</f>
        <v>Shade</v>
      </c>
      <c r="U41" s="284" t="str">
        <f>IF(OR('Project Info'!$B$20="SQ", Price_split=100), "Shade", IF(AND(Lotted?="Yes", No_Lots?&gt;=3), IF(Doc_Lot="All", IF(Tech_Same_Qs?="Yes", "Shade", ""), "Shade"), "Shade"))</f>
        <v>Shade</v>
      </c>
      <c r="V41" s="284" t="str">
        <f>IF(OR('Project Info'!$B$20="SQ", Price_split=100, Int_or_SV="Not applicable"), "Shade", IF(AND(Lotted?="Yes", No_Lots?&gt;=3), "", "Shade"))</f>
        <v>Shade</v>
      </c>
    </row>
    <row r="42" spans="1:22" ht="28">
      <c r="A42" s="354" t="s">
        <v>928</v>
      </c>
      <c r="B42" s="354" t="s">
        <v>1135</v>
      </c>
      <c r="C42" s="354" t="s">
        <v>1134</v>
      </c>
      <c r="D42" s="321" t="s">
        <v>864</v>
      </c>
      <c r="E42" s="322" t="s">
        <v>865</v>
      </c>
      <c r="F42" s="322" t="s">
        <v>862</v>
      </c>
      <c r="G42" s="323" t="s">
        <v>866</v>
      </c>
      <c r="J42" s="321" t="s">
        <v>864</v>
      </c>
      <c r="K42" s="322" t="s">
        <v>865</v>
      </c>
      <c r="L42" s="322" t="s">
        <v>862</v>
      </c>
      <c r="M42" s="323" t="s">
        <v>866</v>
      </c>
      <c r="P42" s="321" t="s">
        <v>864</v>
      </c>
      <c r="Q42" s="322" t="s">
        <v>865</v>
      </c>
      <c r="R42" s="322" t="s">
        <v>862</v>
      </c>
      <c r="S42" s="323" t="s">
        <v>866</v>
      </c>
      <c r="T42" s="284" t="str">
        <f>IF(OR('Project Info'!$B$18="Open Procedure", 'Project Info'!$B$20="SQ"), IF(AND(Lotted?="Yes", No_Lots?&gt;=3), IF(Doc_Lot="All", IF(SQ_Same_Qs?="Yes", "Shade", ""), "Shade"), "Shade"), "Shade")</f>
        <v>Shade</v>
      </c>
      <c r="U42" s="284" t="str">
        <f>IF(OR('Project Info'!$B$20="SQ", Price_split=100), "Shade", IF(AND(Lotted?="Yes", No_Lots?&gt;=3), IF(Doc_Lot="All", IF(Tech_Same_Qs?="Yes", "Shade", ""), "Shade"), "Shade"))</f>
        <v>Shade</v>
      </c>
      <c r="V42" s="284" t="str">
        <f>IF(OR('Project Info'!$B$20="SQ", Price_split=100, Int_or_SV="Not applicable"), "Shade", IF(AND(Lotted?="Yes", No_Lots?&gt;=3), "", "Shade"))</f>
        <v>Shade</v>
      </c>
    </row>
    <row r="43" spans="1:22" ht="14">
      <c r="A43" s="284">
        <v>1</v>
      </c>
      <c r="B43" s="284">
        <v>1</v>
      </c>
      <c r="C43" s="284">
        <f t="array" ref="C43">IF(INDEX(TBL_003_DocMerge[PAS_or_SQ?], MATCH(1, (Job_No=TBL_003_DocMerge[Job_No])*(Doc_Lot=TBL_003_DocMerge[Lot]),0))="SQ", A43, B43)</f>
        <v>1</v>
      </c>
      <c r="D43" s="427" t="s">
        <v>649</v>
      </c>
      <c r="E43" s="428">
        <f t="array" ref="E43">IF(AND(INDEX(TBL_003_DocMerge[PAS_or_SQ?], MATCH(1, (Job_No=TBL_003_DocMerge[Job_No])*(Doc_Lot=TBL_003_DocMerge[Lot]),0))="SQ", D43="Q6.2"), "N/A", IF(OR(Lotted?="No",No_Lots?&lt;3),"N/A", IF(SQ_Same_Qs?="Yes", IF(SQ_Qs_Lot_1&gt;=$C43, INDEX(TBL_008_Qs_Lot_1[Max score], MATCH(1, (SUBSTITUTE($D43, "*", "")=TBL_008_Qs_Lot_1[Q.])*("Question"=TBL_008_Qs_Lot_1[Type]),0)), "N/A"), IF(SQ_Qs_Lot_3&gt;=$C43, INDEX(#REF!, MATCH(1, (SUBSTITUTE($D43, "*", "")=#REF!)*("Question"=#REF!),0)), "N/A"))))</f>
        <v>15</v>
      </c>
      <c r="F43" s="428" t="str">
        <f t="array" ref="F43">IF(OR(SQ_Weighted?="No", $E43="N/A", $E43=0),"N/A",IF(SQ_Same_Qs?="Yes", INDEX(TBL_008_Qs_Lot_1[Weighting],MATCH(1,(SUBSTITUTE($D43,"*","")=TBL_008_Qs_Lot_1[Q.])*("Question"=TBL_008_Qs_Lot_1[Type]),0)), INDEX(#REF!,MATCH(1,(SUBSTITUTE($D43,"*","")=#REF!)*("Question"=#REF!),0))))</f>
        <v>N/A</v>
      </c>
      <c r="G43" s="429" t="str">
        <f t="shared" ref="G43:G55" si="4">IF(F43="N/A", "Question not used", CONCATENATE("([Marks awarded for ", SUBSTITUTE(D43, "*", ""), "] / ", E43, ".00) x ", F43, ".00"))</f>
        <v>Question not used</v>
      </c>
      <c r="I43" s="424">
        <v>1</v>
      </c>
      <c r="J43" s="427" t="s">
        <v>1079</v>
      </c>
      <c r="K43" s="428" t="e">
        <f t="array" ref="K43">IF(OR(Lotted?="No", No_Lots?&lt;3), "N/A", IF(Tech_Same_Qs?="Yes", IF(Tech_Qs_Lot_1&gt;=I43, INDEX(TBL_008_Qs_Lot_1[Max score], MATCH(1, (J43=TBL_008_Qs_Lot_1[Q.])*("Question"=TBL_008_Qs_Lot_1[Type]),0)), "N/A"), IF(Tech_Qs_Lot_3&gt;=I43, INDEX(#REF!, MATCH(1, (J43=#REF!)*("Question"=#REF!),0)), "N/A")))</f>
        <v>#REF!</v>
      </c>
      <c r="L43" s="428" t="e">
        <f t="array" ref="L43">IF(OR(Tech_Weighted?="No", K43="N/A", K43=0), "N/A", IF(Tech_Same_Qs?="Yes", INDEX(TBL_008_Qs_Lot_1[Weighting], MATCH(1, (J43=TBL_008_Qs_Lot_1[Q.])*("Question"=TBL_008_Qs_Lot_1[Type]),0)), INDEX(#REF!, MATCH(1, (J43=#REF!)*("Question"=#REF!),0))))</f>
        <v>#REF!</v>
      </c>
      <c r="M43" s="429" t="e">
        <f t="shared" ref="M43:M52" si="5">IF(L43="N/A", "Question not used", CONCATENATE("([Marks awarded for ", J43, "] / ", K43, ".00) x ", L43, ".00"))</f>
        <v>#REF!</v>
      </c>
      <c r="O43" s="424">
        <v>1</v>
      </c>
      <c r="P43" s="427" t="s">
        <v>1089</v>
      </c>
      <c r="Q43" s="428" t="str">
        <f t="array" ref="Q43">IF(OR(Int_or_SV="Not applicable", Lotted?="No", No_Lots?&lt;3), "N/A", IF(IntSV_Same_Qs?="Yes", IF(IntSV_Qs_Lot_1&gt;=O43, INDEX(TBL_008_Qs_Lot_1[Max score], MATCH(1, (P43=TBL_008_Qs_Lot_1[Q.])*("Question"=TBL_008_Qs_Lot_1[Type]),0)), "N/A"), IF(IntSV_Qs_Lot_3&gt;=O43, INDEX(#REF!, MATCH(1, (P43=#REF!)*("Question"=#REF!),0)), "N/A")))</f>
        <v>N/A</v>
      </c>
      <c r="R43" s="428" t="str">
        <f t="array" ref="R43">IF(OR(IntSV_Weighted?="No", Q43="N/A", Q43=0), "N/A", IF(IntSV_Same_Qs?="Yes", INDEX(TBL_008_Qs_Lot_1[Weighting], MATCH(1, (P43=TBL_008_Qs_Lot_1[Q.])*("Question"=TBL_008_Qs_Lot_1[Type]),0)), INDEX(#REF!, MATCH(1, (P43=#REF!)*("Question"=#REF!),0))))</f>
        <v>N/A</v>
      </c>
      <c r="S43" s="429" t="str">
        <f>IF(R43="N/A", "Question not used", CONCATENATE("([Marks awarded for ", P43, "] / ", Q43, ".00) x ", R43, ".00"))</f>
        <v>Question not used</v>
      </c>
      <c r="T43" s="284" t="str">
        <f>IF(OR('Project Info'!$B$18="Open Procedure", 'Project Info'!$B$20="SQ"), IF(AND(Lotted?="Yes", No_Lots?&gt;=3), IF(Doc_Lot="All", IF(SQ_Same_Qs?="Yes", "Shade", ""), "Shade"), "Shade"), "Shade")</f>
        <v>Shade</v>
      </c>
      <c r="U43" s="284" t="str">
        <f>IF(OR('Project Info'!$B$20="SQ", Price_split=100), "Shade", IF(AND(Lotted?="Yes", No_Lots?&gt;=3), IF(Doc_Lot="All", IF(Tech_Same_Qs?="Yes", "Shade", ""), "Shade"), "Shade"))</f>
        <v>Shade</v>
      </c>
      <c r="V43" s="284" t="str">
        <f>IF(OR('Project Info'!$B$20="SQ", Price_split=100, Int_or_SV="Not applicable"), "Shade", IF(AND(Lotted?="Yes", No_Lots?&gt;=3), "", "Shade"))</f>
        <v>Shade</v>
      </c>
    </row>
    <row r="44" spans="1:22" ht="14">
      <c r="A44" s="284">
        <v>1</v>
      </c>
      <c r="B44" s="284">
        <v>2</v>
      </c>
      <c r="C44" s="284">
        <f t="array" ref="C44">IF(INDEX(TBL_003_DocMerge[PAS_or_SQ?], MATCH(1, (Job_No=TBL_003_DocMerge[Job_No])*(Doc_Lot=TBL_003_DocMerge[Lot]),0))="SQ", A44, B44)</f>
        <v>1</v>
      </c>
      <c r="D44" s="427" t="s">
        <v>653</v>
      </c>
      <c r="E44" s="428" t="str">
        <f t="array" ref="E44">IF(AND(INDEX(TBL_003_DocMerge[PAS_or_SQ?], MATCH(1, (Job_No=TBL_003_DocMerge[Job_No])*(Doc_Lot=TBL_003_DocMerge[Lot]),0))="SQ", D44="Q6.2"), "N/A", IF(OR(Lotted?="No",No_Lots?&lt;3),"N/A", IF(SQ_Same_Qs?="Yes", IF(SQ_Qs_Lot_1&gt;=$C44, INDEX(TBL_008_Qs_Lot_1[Max score], MATCH(1, (SUBSTITUTE($D44, "*", "")=TBL_008_Qs_Lot_1[Q.])*("Question"=TBL_008_Qs_Lot_1[Type]),0)), "N/A"), IF(SQ_Qs_Lot_3&gt;=$C44, INDEX(#REF!, MATCH(1, (SUBSTITUTE($D44, "*", "")=#REF!)*("Question"=#REF!),0)), "N/A"))))</f>
        <v>N/A</v>
      </c>
      <c r="F44" s="428" t="str">
        <f t="array" ref="F44">IF(OR(SQ_Weighted?="No", $E44="N/A", $E44=0),"N/A",IF(SQ_Same_Qs?="Yes", INDEX(TBL_008_Qs_Lot_1[Weighting],MATCH(1,(SUBSTITUTE($D44,"*","")=TBL_008_Qs_Lot_1[Q.])*("Question"=TBL_008_Qs_Lot_1[Type]),0)), INDEX(#REF!,MATCH(1,(SUBSTITUTE($D44,"*","")=#REF!)*("Question"=#REF!),0))))</f>
        <v>N/A</v>
      </c>
      <c r="G44" s="429" t="str">
        <f t="shared" si="4"/>
        <v>Question not used</v>
      </c>
      <c r="I44" s="424">
        <v>2</v>
      </c>
      <c r="J44" s="427" t="s">
        <v>1080</v>
      </c>
      <c r="K44" s="428" t="e">
        <f t="array" ref="K44">IF(OR(Lotted?="No", No_Lots?&lt;3), "N/A", IF(Tech_Same_Qs?="Yes", IF(Tech_Qs_Lot_1&gt;=I44, INDEX(TBL_008_Qs_Lot_1[Max score], MATCH(1, (J44=TBL_008_Qs_Lot_1[Q.])*("Question"=TBL_008_Qs_Lot_1[Type]),0)), "N/A"), IF(Tech_Qs_Lot_3&gt;=I44, INDEX(#REF!, MATCH(1, (J44=#REF!)*("Question"=#REF!),0)), "N/A")))</f>
        <v>#REF!</v>
      </c>
      <c r="L44" s="428" t="e">
        <f t="array" ref="L44">IF(OR(Tech_Weighted?="No", K44="N/A", K44=0), "N/A", IF(Tech_Same_Qs?="Yes", INDEX(TBL_008_Qs_Lot_1[Weighting], MATCH(1, (J44=TBL_008_Qs_Lot_1[Q.])*("Question"=TBL_008_Qs_Lot_1[Type]),0)), INDEX(#REF!, MATCH(1, (J44=#REF!)*("Question"=#REF!),0))))</f>
        <v>#REF!</v>
      </c>
      <c r="M44" s="429" t="e">
        <f t="shared" si="5"/>
        <v>#REF!</v>
      </c>
      <c r="O44" s="424">
        <v>2</v>
      </c>
      <c r="P44" s="427" t="s">
        <v>1090</v>
      </c>
      <c r="Q44" s="428" t="str">
        <f t="array" ref="Q44">IF(OR(Int_or_SV="Not applicable", Lotted?="No", No_Lots?&lt;3), "N/A", IF(IntSV_Same_Qs?="Yes", IF(IntSV_Qs_Lot_1&gt;=O44, INDEX(TBL_008_Qs_Lot_1[Max score], MATCH(1, (P44=TBL_008_Qs_Lot_1[Q.])*("Question"=TBL_008_Qs_Lot_1[Type]),0)), "N/A"), IF(IntSV_Qs_Lot_3&gt;=O44, INDEX(#REF!, MATCH(1, (P44=#REF!)*("Question"=#REF!),0)), "N/A")))</f>
        <v>N/A</v>
      </c>
      <c r="R44" s="428" t="str">
        <f t="array" ref="R44">IF(OR(IntSV_Weighted?="No", Q44="N/A", Q44=0), "N/A", IF(IntSV_Same_Qs?="Yes", INDEX(TBL_008_Qs_Lot_1[Weighting], MATCH(1, (P44=TBL_008_Qs_Lot_1[Q.])*("Question"=TBL_008_Qs_Lot_1[Type]),0)), INDEX(#REF!, MATCH(1, (P44=#REF!)*("Question"=#REF!),0))))</f>
        <v>N/A</v>
      </c>
      <c r="S44" s="429" t="str">
        <f>IF(R44="N/A", "Question not used", CONCATENATE("([Marks awarded for ", P44, "] / ", Q44, ".00) x ", R44, ".00"))</f>
        <v>Question not used</v>
      </c>
      <c r="T44" s="284" t="str">
        <f>IF(OR('Project Info'!$B$18="Open Procedure", 'Project Info'!$B$20="SQ"), IF(AND(Lotted?="Yes", No_Lots?&gt;=3), IF(Doc_Lot="All", IF(SQ_Same_Qs?="Yes", "Shade", ""), "Shade"), "Shade"), "Shade")</f>
        <v>Shade</v>
      </c>
      <c r="U44" s="284" t="str">
        <f>IF(OR('Project Info'!$B$20="SQ", Price_split=100), "Shade", IF(AND(Lotted?="Yes", No_Lots?&gt;=3), IF(Doc_Lot="All", IF(Tech_Same_Qs?="Yes", "Shade", ""), "Shade"), "Shade"))</f>
        <v>Shade</v>
      </c>
      <c r="V44" s="284" t="str">
        <f>IF(OR('Project Info'!$B$20="SQ", Price_split=100, Int_or_SV="Not applicable"), "Shade", IF(AND(Lotted?="Yes", No_Lots?&gt;=3), "", "Shade"))</f>
        <v>Shade</v>
      </c>
    </row>
    <row r="45" spans="1:22" ht="14">
      <c r="A45" s="284">
        <v>1</v>
      </c>
      <c r="B45" s="284">
        <v>3</v>
      </c>
      <c r="C45" s="284">
        <f t="array" ref="C45">IF(INDEX(TBL_003_DocMerge[PAS_or_SQ?], MATCH(1, (Job_No=TBL_003_DocMerge[Job_No])*(Doc_Lot=TBL_003_DocMerge[Lot]),0))="SQ", A45, B45)</f>
        <v>1</v>
      </c>
      <c r="D45" s="367" t="str">
        <f t="array" ref="D45">IF(INDEX(TBL_003_DocMerge[PAS_or_SQ?], MATCH(1, (Job_No=TBL_003_DocMerge[Job_No])*(Doc_Lot=TBL_003_DocMerge[Lot]),0))="SQ", "Q6.3*", "Q6.3")</f>
        <v>Q6.3*</v>
      </c>
      <c r="E45" s="428">
        <f t="array" ref="E45">IF(AND(INDEX(TBL_003_DocMerge[PAS_or_SQ?], MATCH(1, (Job_No=TBL_003_DocMerge[Job_No])*(Doc_Lot=TBL_003_DocMerge[Lot]),0))="SQ", D45="Q6.2"), "N/A", IF(OR(Lotted?="No",No_Lots?&lt;3),"N/A", IF(SQ_Same_Qs?="Yes", IF(SQ_Qs_Lot_1&gt;=$C45, INDEX(TBL_008_Qs_Lot_1[Max score], MATCH(1, (SUBSTITUTE($D45, "*", "")=TBL_008_Qs_Lot_1[Q.])*("Question"=TBL_008_Qs_Lot_1[Type]),0)), "N/A"), IF(SQ_Qs_Lot_3&gt;=$C45, INDEX(#REF!, MATCH(1, (SUBSTITUTE($D45, "*", "")=#REF!)*("Question"=#REF!),0)), "N/A"))))</f>
        <v>5</v>
      </c>
      <c r="F45" s="428" t="str">
        <f t="array" ref="F45">IF(OR(SQ_Weighted?="No", $E45="N/A", $E45=0),"N/A",IF(SQ_Same_Qs?="Yes", INDEX(TBL_008_Qs_Lot_1[Weighting],MATCH(1,(SUBSTITUTE($D45,"*","")=TBL_008_Qs_Lot_1[Q.])*("Question"=TBL_008_Qs_Lot_1[Type]),0)), INDEX(#REF!,MATCH(1,(SUBSTITUTE($D45,"*","")=#REF!)*("Question"=#REF!),0))))</f>
        <v>N/A</v>
      </c>
      <c r="G45" s="429" t="str">
        <f t="shared" si="4"/>
        <v>Question not used</v>
      </c>
      <c r="I45" s="424">
        <v>3</v>
      </c>
      <c r="J45" s="427" t="s">
        <v>1081</v>
      </c>
      <c r="K45" s="428" t="e">
        <f t="array" ref="K45">IF(OR(Lotted?="No", No_Lots?&lt;3), "N/A", IF(Tech_Same_Qs?="Yes", IF(Tech_Qs_Lot_1&gt;=I45, INDEX(TBL_008_Qs_Lot_1[Max score], MATCH(1, (J45=TBL_008_Qs_Lot_1[Q.])*("Question"=TBL_008_Qs_Lot_1[Type]),0)), "N/A"), IF(Tech_Qs_Lot_3&gt;=I45, INDEX(#REF!, MATCH(1, (J45=#REF!)*("Question"=#REF!),0)), "N/A")))</f>
        <v>#REF!</v>
      </c>
      <c r="L45" s="428" t="e">
        <f t="array" ref="L45">IF(OR(Tech_Weighted?="No", K45="N/A", K45=0), "N/A", IF(Tech_Same_Qs?="Yes", INDEX(TBL_008_Qs_Lot_1[Weighting], MATCH(1, (J45=TBL_008_Qs_Lot_1[Q.])*("Question"=TBL_008_Qs_Lot_1[Type]),0)), INDEX(#REF!, MATCH(1, (J45=#REF!)*("Question"=#REF!),0))))</f>
        <v>#REF!</v>
      </c>
      <c r="M45" s="429" t="e">
        <f t="shared" si="5"/>
        <v>#REF!</v>
      </c>
      <c r="O45" s="424">
        <v>3</v>
      </c>
      <c r="P45" s="427" t="s">
        <v>1091</v>
      </c>
      <c r="Q45" s="428" t="str">
        <f t="array" ref="Q45">IF(OR(Int_or_SV="Not applicable", Lotted?="No", No_Lots?&lt;3), "N/A", IF(IntSV_Same_Qs?="Yes", IF(IntSV_Qs_Lot_1&gt;=O45, INDEX(TBL_008_Qs_Lot_1[Max score], MATCH(1, (P45=TBL_008_Qs_Lot_1[Q.])*("Question"=TBL_008_Qs_Lot_1[Type]),0)), "N/A"), IF(IntSV_Qs_Lot_3&gt;=O45, INDEX(#REF!, MATCH(1, (P45=#REF!)*("Question"=#REF!),0)), "N/A")))</f>
        <v>N/A</v>
      </c>
      <c r="R45" s="428" t="str">
        <f t="array" ref="R45">IF(OR(IntSV_Weighted?="No", Q45="N/A", Q45=0), "N/A", IF(IntSV_Same_Qs?="Yes", INDEX(TBL_008_Qs_Lot_1[Weighting], MATCH(1, (P45=TBL_008_Qs_Lot_1[Q.])*("Question"=TBL_008_Qs_Lot_1[Type]),0)), INDEX(#REF!, MATCH(1, (P45=#REF!)*("Question"=#REF!),0))))</f>
        <v>N/A</v>
      </c>
      <c r="S45" s="429" t="str">
        <f>IF(R45="N/A", "Question not used", CONCATENATE("([Marks awarded for ", P45, "] / ", Q45, ".00) x ", R45, ".00"))</f>
        <v>Question not used</v>
      </c>
      <c r="T45" s="284" t="str">
        <f>IF(OR('Project Info'!$B$18="Open Procedure", 'Project Info'!$B$20="SQ"), IF(AND(Lotted?="Yes", No_Lots?&gt;=3), IF(Doc_Lot="All", IF(SQ_Same_Qs?="Yes", "Shade", ""), "Shade"), "Shade"), "Shade")</f>
        <v>Shade</v>
      </c>
      <c r="U45" s="284" t="str">
        <f>IF(OR('Project Info'!$B$20="SQ", Price_split=100), "Shade", IF(AND(Lotted?="Yes", No_Lots?&gt;=3), IF(Doc_Lot="All", IF(Tech_Same_Qs?="Yes", "Shade", ""), "Shade"), "Shade"))</f>
        <v>Shade</v>
      </c>
      <c r="V45" s="284" t="str">
        <f>IF(OR('Project Info'!$B$20="SQ", Price_split=100, Int_or_SV="Not applicable"), "Shade", IF(AND(Lotted?="Yes", No_Lots?&gt;=3), "", "Shade"))</f>
        <v>Shade</v>
      </c>
    </row>
    <row r="46" spans="1:22" ht="14">
      <c r="A46" s="284">
        <v>2</v>
      </c>
      <c r="B46" s="284">
        <v>4</v>
      </c>
      <c r="C46" s="284">
        <f t="array" ref="C46">IF(INDEX(TBL_003_DocMerge[PAS_or_SQ?], MATCH(1, (Job_No=TBL_003_DocMerge[Job_No])*(Doc_Lot=TBL_003_DocMerge[Lot]),0))="SQ", A46, B46)</f>
        <v>2</v>
      </c>
      <c r="D46" s="427" t="s">
        <v>399</v>
      </c>
      <c r="E46" s="428" t="str">
        <f t="array" ref="E46">IF(AND(INDEX(TBL_003_DocMerge[PAS_or_SQ?], MATCH(1, (Job_No=TBL_003_DocMerge[Job_No])*(Doc_Lot=TBL_003_DocMerge[Lot]),0))="SQ", D46="Q6.2"), "N/A", IF(OR(Lotted?="No",No_Lots?&lt;3),"N/A", IF(SQ_Same_Qs?="Yes", IF(SQ_Qs_Lot_1&gt;=$C46, INDEX(TBL_008_Qs_Lot_1[Max score], MATCH(1, (SUBSTITUTE($D46, "*", "")=TBL_008_Qs_Lot_1[Q.])*("Question"=TBL_008_Qs_Lot_1[Type]),0)), "N/A"), IF(SQ_Qs_Lot_3&gt;=$C46, INDEX(#REF!, MATCH(1, (SUBSTITUTE($D46, "*", "")=#REF!)*("Question"=#REF!),0)), "N/A"))))</f>
        <v>N/A</v>
      </c>
      <c r="F46" s="428" t="str">
        <f t="array" ref="F46">IF(OR(SQ_Weighted?="No", $E46="N/A", $E46=0),"N/A",IF(SQ_Same_Qs?="Yes", INDEX(TBL_008_Qs_Lot_1[Weighting],MATCH(1,(SUBSTITUTE($D46,"*","")=TBL_008_Qs_Lot_1[Q.])*("Question"=TBL_008_Qs_Lot_1[Type]),0)), INDEX(#REF!,MATCH(1,(SUBSTITUTE($D46,"*","")=#REF!)*("Question"=#REF!),0))))</f>
        <v>N/A</v>
      </c>
      <c r="G46" s="429" t="str">
        <f t="shared" si="4"/>
        <v>Question not used</v>
      </c>
      <c r="I46" s="424">
        <v>4</v>
      </c>
      <c r="J46" s="427" t="s">
        <v>1082</v>
      </c>
      <c r="K46" s="428" t="e">
        <f t="array" ref="K46">IF(OR(Lotted?="No", No_Lots?&lt;3), "N/A", IF(Tech_Same_Qs?="Yes", IF(Tech_Qs_Lot_1&gt;=I46, INDEX(TBL_008_Qs_Lot_1[Max score], MATCH(1, (J46=TBL_008_Qs_Lot_1[Q.])*("Question"=TBL_008_Qs_Lot_1[Type]),0)), "N/A"), IF(Tech_Qs_Lot_3&gt;=I46, INDEX(#REF!, MATCH(1, (J46=#REF!)*("Question"=#REF!),0)), "N/A")))</f>
        <v>#REF!</v>
      </c>
      <c r="L46" s="428" t="e">
        <f t="array" ref="L46">IF(OR(Tech_Weighted?="No", K46="N/A", K46=0), "N/A", IF(Tech_Same_Qs?="Yes", INDEX(TBL_008_Qs_Lot_1[Weighting], MATCH(1, (J46=TBL_008_Qs_Lot_1[Q.])*("Question"=TBL_008_Qs_Lot_1[Type]),0)), INDEX(#REF!, MATCH(1, (J46=#REF!)*("Question"=#REF!),0))))</f>
        <v>#REF!</v>
      </c>
      <c r="M46" s="429" t="e">
        <f t="shared" si="5"/>
        <v>#REF!</v>
      </c>
      <c r="O46" s="424">
        <v>4</v>
      </c>
      <c r="P46" s="427" t="s">
        <v>1092</v>
      </c>
      <c r="Q46" s="428" t="str">
        <f t="array" ref="Q46">IF(OR(Int_or_SV="Not applicable", Lotted?="No", No_Lots?&lt;3), "N/A", IF(IntSV_Same_Qs?="Yes", IF(IntSV_Qs_Lot_1&gt;=O46, INDEX(TBL_008_Qs_Lot_1[Max score], MATCH(1, (P46=TBL_008_Qs_Lot_1[Q.])*("Question"=TBL_008_Qs_Lot_1[Type]),0)), "N/A"), IF(IntSV_Qs_Lot_3&gt;=O46, INDEX(#REF!, MATCH(1, (P46=#REF!)*("Question"=#REF!),0)), "N/A")))</f>
        <v>N/A</v>
      </c>
      <c r="R46" s="428" t="str">
        <f t="array" ref="R46">IF(OR(IntSV_Weighted?="No", Q46="N/A", Q46=0), "N/A", IF(IntSV_Same_Qs?="Yes", INDEX(TBL_008_Qs_Lot_1[Weighting], MATCH(1, (P46=TBL_008_Qs_Lot_1[Q.])*("Question"=TBL_008_Qs_Lot_1[Type]),0)), INDEX(#REF!, MATCH(1, (P46=#REF!)*("Question"=#REF!),0))))</f>
        <v>N/A</v>
      </c>
      <c r="S46" s="429" t="str">
        <f>IF(R46="N/A", "Question not used", CONCATENATE("([Marks awarded for ", P46, "] / ", Q46, ".00) x ", R46, ".00"))</f>
        <v>Question not used</v>
      </c>
      <c r="T46" s="284" t="str">
        <f>IF(OR('Project Info'!$B$18="Open Procedure", 'Project Info'!$B$20="SQ"), IF(AND(Lotted?="Yes", No_Lots?&gt;=3), IF(Doc_Lot="All", IF(SQ_Same_Qs?="Yes", "Shade", ""), "Shade"), "Shade"), "Shade")</f>
        <v>Shade</v>
      </c>
      <c r="U46" s="284" t="str">
        <f>IF(OR('Project Info'!$B$20="SQ", Price_split=100), "Shade", IF(AND(Lotted?="Yes", No_Lots?&gt;=3), IF(Doc_Lot="All", IF(Tech_Same_Qs?="Yes", "Shade", ""), "Shade"), "Shade"))</f>
        <v>Shade</v>
      </c>
      <c r="V46" s="284" t="str">
        <f>IF(OR('Project Info'!$B$20="SQ", Price_split=100, Int_or_SV="Not applicable"), "Shade", IF(AND(Lotted?="Yes", No_Lots?&gt;=3), "", "Shade"))</f>
        <v>Shade</v>
      </c>
    </row>
    <row r="47" spans="1:22" ht="14">
      <c r="A47" s="284">
        <v>3</v>
      </c>
      <c r="B47" s="284">
        <v>5</v>
      </c>
      <c r="C47" s="284">
        <f t="array" ref="C47">IF(INDEX(TBL_003_DocMerge[PAS_or_SQ?], MATCH(1, (Job_No=TBL_003_DocMerge[Job_No])*(Doc_Lot=TBL_003_DocMerge[Lot]),0))="SQ", A47, B47)</f>
        <v>3</v>
      </c>
      <c r="D47" s="427" t="s">
        <v>410</v>
      </c>
      <c r="E47" s="428" t="str">
        <f t="array" ref="E47">IF(AND(INDEX(TBL_003_DocMerge[PAS_or_SQ?], MATCH(1, (Job_No=TBL_003_DocMerge[Job_No])*(Doc_Lot=TBL_003_DocMerge[Lot]),0))="SQ", D47="Q6.2"), "N/A", IF(OR(Lotted?="No",No_Lots?&lt;3),"N/A", IF(SQ_Same_Qs?="Yes", IF(SQ_Qs_Lot_1&gt;=$C47, INDEX(TBL_008_Qs_Lot_1[Max score], MATCH(1, (SUBSTITUTE($D47, "*", "")=TBL_008_Qs_Lot_1[Q.])*("Question"=TBL_008_Qs_Lot_1[Type]),0)), "N/A"), IF(SQ_Qs_Lot_3&gt;=$C47, INDEX(#REF!, MATCH(1, (SUBSTITUTE($D47, "*", "")=#REF!)*("Question"=#REF!),0)), "N/A"))))</f>
        <v>N/A</v>
      </c>
      <c r="F47" s="428" t="str">
        <f t="array" ref="F47">IF(OR(SQ_Weighted?="No", $E47="N/A", $E47=0),"N/A",IF(SQ_Same_Qs?="Yes", INDEX(TBL_008_Qs_Lot_1[Weighting],MATCH(1,(SUBSTITUTE($D47,"*","")=TBL_008_Qs_Lot_1[Q.])*("Question"=TBL_008_Qs_Lot_1[Type]),0)), INDEX(#REF!,MATCH(1,(SUBSTITUTE($D47,"*","")=#REF!)*("Question"=#REF!),0))))</f>
        <v>N/A</v>
      </c>
      <c r="G47" s="429" t="str">
        <f t="shared" si="4"/>
        <v>Question not used</v>
      </c>
      <c r="I47" s="424">
        <v>5</v>
      </c>
      <c r="J47" s="427" t="s">
        <v>1083</v>
      </c>
      <c r="K47" s="428" t="e">
        <f t="array" ref="K47">IF(OR(Lotted?="No", No_Lots?&lt;3), "N/A", IF(Tech_Same_Qs?="Yes", IF(Tech_Qs_Lot_1&gt;=I47, INDEX(TBL_008_Qs_Lot_1[Max score], MATCH(1, (J47=TBL_008_Qs_Lot_1[Q.])*("Question"=TBL_008_Qs_Lot_1[Type]),0)), "N/A"), IF(Tech_Qs_Lot_3&gt;=I47, INDEX(#REF!, MATCH(1, (J47=#REF!)*("Question"=#REF!),0)), "N/A")))</f>
        <v>#REF!</v>
      </c>
      <c r="L47" s="428" t="e">
        <f t="array" ref="L47">IF(OR(Tech_Weighted?="No", K47="N/A", K47=0), "N/A", IF(Tech_Same_Qs?="Yes", INDEX(TBL_008_Qs_Lot_1[Weighting], MATCH(1, (J47=TBL_008_Qs_Lot_1[Q.])*("Question"=TBL_008_Qs_Lot_1[Type]),0)), INDEX(#REF!, MATCH(1, (J47=#REF!)*("Question"=#REF!),0))))</f>
        <v>#REF!</v>
      </c>
      <c r="M47" s="429" t="e">
        <f t="shared" si="5"/>
        <v>#REF!</v>
      </c>
      <c r="O47" s="424">
        <v>5</v>
      </c>
      <c r="P47" s="427" t="s">
        <v>1093</v>
      </c>
      <c r="Q47" s="428" t="str">
        <f t="array" ref="Q47">IF(OR(Int_or_SV="Not applicable", Lotted?="No", No_Lots?&lt;3), "N/A", IF(IntSV_Same_Qs?="Yes", IF(IntSV_Qs_Lot_1&gt;=O47, INDEX(TBL_008_Qs_Lot_1[Max score], MATCH(1, (P47=TBL_008_Qs_Lot_1[Q.])*("Question"=TBL_008_Qs_Lot_1[Type]),0)), "N/A"), IF(IntSV_Qs_Lot_3&gt;=O47, INDEX(#REF!, MATCH(1, (P47=#REF!)*("Question"=#REF!),0)), "N/A")))</f>
        <v>N/A</v>
      </c>
      <c r="R47" s="428" t="str">
        <f t="array" ref="R47">IF(OR(IntSV_Weighted?="No", Q47="N/A", Q47=0), "N/A", IF(IntSV_Same_Qs?="Yes", INDEX(TBL_008_Qs_Lot_1[Weighting], MATCH(1, (P47=TBL_008_Qs_Lot_1[Q.])*("Question"=TBL_008_Qs_Lot_1[Type]),0)), INDEX(#REF!, MATCH(1, (P47=#REF!)*("Question"=#REF!),0))))</f>
        <v>N/A</v>
      </c>
      <c r="S47" s="429" t="str">
        <f>IF(R47="N/A", "Question not used", CONCATENATE("([Marks awarded for ", P47, "] / ", Q47, ".00) x ", R47, ".00"))</f>
        <v>Question not used</v>
      </c>
      <c r="T47" s="284" t="str">
        <f>IF(OR('Project Info'!$B$18="Open Procedure", 'Project Info'!$B$20="SQ"), IF(AND(Lotted?="Yes", No_Lots?&gt;=3), IF(Doc_Lot="All", IF(SQ_Same_Qs?="Yes", "Shade", ""), "Shade"), "Shade"), "Shade")</f>
        <v>Shade</v>
      </c>
      <c r="U47" s="284" t="str">
        <f>IF(OR('Project Info'!$B$20="SQ", Price_split=100), "Shade", IF(AND(Lotted?="Yes", No_Lots?&gt;=3), IF(Doc_Lot="All", IF(Tech_Same_Qs?="Yes", "Shade", ""), "Shade"), "Shade"))</f>
        <v>Shade</v>
      </c>
      <c r="V47" s="284" t="str">
        <f>IF(OR('Project Info'!$B$20="SQ", Price_split=100, Int_or_SV="Not applicable"), "Shade", IF(AND(Lotted?="Yes", No_Lots?&gt;=3), "", "Shade"))</f>
        <v>Shade</v>
      </c>
    </row>
    <row r="48" spans="1:22" ht="14">
      <c r="A48" s="284">
        <v>4</v>
      </c>
      <c r="B48" s="284">
        <v>6</v>
      </c>
      <c r="C48" s="284">
        <f t="array" ref="C48">IF(INDEX(TBL_003_DocMerge[PAS_or_SQ?], MATCH(1, (Job_No=TBL_003_DocMerge[Job_No])*(Doc_Lot=TBL_003_DocMerge[Lot]),0))="SQ", A48, B48)</f>
        <v>4</v>
      </c>
      <c r="D48" s="427" t="s">
        <v>421</v>
      </c>
      <c r="E48" s="428" t="str">
        <f t="array" ref="E48">IF(AND(INDEX(TBL_003_DocMerge[PAS_or_SQ?], MATCH(1, (Job_No=TBL_003_DocMerge[Job_No])*(Doc_Lot=TBL_003_DocMerge[Lot]),0))="SQ", D48="Q6.2"), "N/A", IF(OR(Lotted?="No",No_Lots?&lt;3),"N/A", IF(SQ_Same_Qs?="Yes", IF(SQ_Qs_Lot_1&gt;=$C48, INDEX(TBL_008_Qs_Lot_1[Max score], MATCH(1, (SUBSTITUTE($D48, "*", "")=TBL_008_Qs_Lot_1[Q.])*("Question"=TBL_008_Qs_Lot_1[Type]),0)), "N/A"), IF(SQ_Qs_Lot_3&gt;=$C48, INDEX(#REF!, MATCH(1, (SUBSTITUTE($D48, "*", "")=#REF!)*("Question"=#REF!),0)), "N/A"))))</f>
        <v>N/A</v>
      </c>
      <c r="F48" s="428" t="str">
        <f t="array" ref="F48">IF(OR(SQ_Weighted?="No", $E48="N/A", $E48=0),"N/A",IF(SQ_Same_Qs?="Yes", INDEX(TBL_008_Qs_Lot_1[Weighting],MATCH(1,(SUBSTITUTE($D48,"*","")=TBL_008_Qs_Lot_1[Q.])*("Question"=TBL_008_Qs_Lot_1[Type]),0)), INDEX(#REF!,MATCH(1,(SUBSTITUTE($D48,"*","")=#REF!)*("Question"=#REF!),0))))</f>
        <v>N/A</v>
      </c>
      <c r="G48" s="429" t="str">
        <f t="shared" si="4"/>
        <v>Question not used</v>
      </c>
      <c r="I48" s="424">
        <v>6</v>
      </c>
      <c r="J48" s="427" t="s">
        <v>1084</v>
      </c>
      <c r="K48" s="428" t="e">
        <f t="array" ref="K48">IF(OR(Lotted?="No", No_Lots?&lt;3), "N/A", IF(Tech_Same_Qs?="Yes", IF(Tech_Qs_Lot_1&gt;=I48, INDEX(TBL_008_Qs_Lot_1[Max score], MATCH(1, (J48=TBL_008_Qs_Lot_1[Q.])*("Question"=TBL_008_Qs_Lot_1[Type]),0)), "N/A"), IF(Tech_Qs_Lot_3&gt;=I48, INDEX(#REF!, MATCH(1, (J48=#REF!)*("Question"=#REF!),0)), "N/A")))</f>
        <v>#REF!</v>
      </c>
      <c r="L48" s="428" t="e">
        <f t="array" ref="L48">IF(OR(Tech_Weighted?="No", K48="N/A", K48=0), "N/A", IF(Tech_Same_Qs?="Yes", INDEX(TBL_008_Qs_Lot_1[Weighting], MATCH(1, (J48=TBL_008_Qs_Lot_1[Q.])*("Question"=TBL_008_Qs_Lot_1[Type]),0)), INDEX(#REF!, MATCH(1, (J48=#REF!)*("Question"=#REF!),0))))</f>
        <v>#REF!</v>
      </c>
      <c r="M48" s="429" t="e">
        <f t="shared" si="5"/>
        <v>#REF!</v>
      </c>
      <c r="P48" s="327" t="str">
        <f>IF(IntSV_Weighted?="Yes", "", "Total:")</f>
        <v>Total:</v>
      </c>
      <c r="Q48" s="431">
        <f>IF(IntSV_Weighted?="Yes", "Total:", SUM(Q43:Q47))</f>
        <v>0</v>
      </c>
      <c r="R48" s="324">
        <f>IF(OR(Int_or_SV="No", No_Lots?&lt;3), "N/A", IF(SUM(R43:R47)=IntSV_Weighting, SUM(R43:R47), "Error!"))</f>
        <v>0</v>
      </c>
      <c r="S48" s="325" t="s">
        <v>868</v>
      </c>
      <c r="T48" s="284" t="str">
        <f>IF(OR('Project Info'!$B$18="Open Procedure", 'Project Info'!$B$20="SQ"), IF(AND(Lotted?="Yes", No_Lots?&gt;=3), IF(Doc_Lot="All", IF(SQ_Same_Qs?="Yes", "Shade", ""), "Shade"), "Shade"), "Shade")</f>
        <v>Shade</v>
      </c>
      <c r="U48" s="284" t="str">
        <f>IF(OR('Project Info'!$B$20="SQ", Price_split=100), "Shade", IF(AND(Lotted?="Yes", No_Lots?&gt;=3), IF(Doc_Lot="All", IF(Tech_Same_Qs?="Yes", "Shade", ""), "Shade"), "Shade"))</f>
        <v>Shade</v>
      </c>
      <c r="V48" s="284" t="str">
        <f>IF(OR('Project Info'!$B$20="SQ", Price_split=100, Int_or_SV="Not applicable"), "Shade", IF(AND(Lotted?="Yes", No_Lots?&gt;=3), "", "Shade"))</f>
        <v>Shade</v>
      </c>
    </row>
    <row r="49" spans="1:22" ht="14">
      <c r="A49" s="284">
        <v>5</v>
      </c>
      <c r="B49" s="284">
        <v>7</v>
      </c>
      <c r="C49" s="284">
        <f t="array" ref="C49">IF(INDEX(TBL_003_DocMerge[PAS_or_SQ?], MATCH(1, (Job_No=TBL_003_DocMerge[Job_No])*(Doc_Lot=TBL_003_DocMerge[Lot]),0))="SQ", A49, B49)</f>
        <v>5</v>
      </c>
      <c r="D49" s="427" t="s">
        <v>430</v>
      </c>
      <c r="E49" s="428" t="str">
        <f t="array" ref="E49">IF(AND(INDEX(TBL_003_DocMerge[PAS_or_SQ?], MATCH(1, (Job_No=TBL_003_DocMerge[Job_No])*(Doc_Lot=TBL_003_DocMerge[Lot]),0))="SQ", D49="Q6.2"), "N/A", IF(OR(Lotted?="No",No_Lots?&lt;3),"N/A", IF(SQ_Same_Qs?="Yes", IF(SQ_Qs_Lot_1&gt;=$C49, INDEX(TBL_008_Qs_Lot_1[Max score], MATCH(1, (SUBSTITUTE($D49, "*", "")=TBL_008_Qs_Lot_1[Q.])*("Question"=TBL_008_Qs_Lot_1[Type]),0)), "N/A"), IF(SQ_Qs_Lot_3&gt;=$C49, INDEX(#REF!, MATCH(1, (SUBSTITUTE($D49, "*", "")=#REF!)*("Question"=#REF!),0)), "N/A"))))</f>
        <v>N/A</v>
      </c>
      <c r="F49" s="428" t="str">
        <f t="array" ref="F49">IF(OR(SQ_Weighted?="No", $E49="N/A", $E49=0),"N/A",IF(SQ_Same_Qs?="Yes", INDEX(TBL_008_Qs_Lot_1[Weighting],MATCH(1,(SUBSTITUTE($D49,"*","")=TBL_008_Qs_Lot_1[Q.])*("Question"=TBL_008_Qs_Lot_1[Type]),0)), INDEX(#REF!,MATCH(1,(SUBSTITUTE($D49,"*","")=#REF!)*("Question"=#REF!),0))))</f>
        <v>N/A</v>
      </c>
      <c r="G49" s="429" t="str">
        <f t="shared" si="4"/>
        <v>Question not used</v>
      </c>
      <c r="I49" s="424">
        <v>7</v>
      </c>
      <c r="J49" s="427" t="s">
        <v>1085</v>
      </c>
      <c r="K49" s="428" t="e">
        <f t="array" ref="K49">IF(OR(Lotted?="No", No_Lots?&lt;3), "N/A", IF(Tech_Same_Qs?="Yes", IF(Tech_Qs_Lot_1&gt;=I49, INDEX(TBL_008_Qs_Lot_1[Max score], MATCH(1, (J49=TBL_008_Qs_Lot_1[Q.])*("Question"=TBL_008_Qs_Lot_1[Type]),0)), "N/A"), IF(Tech_Qs_Lot_3&gt;=I49, INDEX(#REF!, MATCH(1, (J49=#REF!)*("Question"=#REF!),0)), "N/A")))</f>
        <v>#REF!</v>
      </c>
      <c r="L49" s="428" t="e">
        <f t="array" ref="L49">IF(OR(Tech_Weighted?="No", K49="N/A", K49=0), "N/A", IF(Tech_Same_Qs?="Yes", INDEX(TBL_008_Qs_Lot_1[Weighting], MATCH(1, (J49=TBL_008_Qs_Lot_1[Q.])*("Question"=TBL_008_Qs_Lot_1[Type]),0)), INDEX(#REF!, MATCH(1, (J49=#REF!)*("Question"=#REF!),0))))</f>
        <v>#REF!</v>
      </c>
      <c r="M49" s="429" t="e">
        <f t="shared" si="5"/>
        <v>#REF!</v>
      </c>
      <c r="P49" s="432"/>
      <c r="Q49" s="433"/>
      <c r="R49" s="433"/>
      <c r="S49" s="434"/>
      <c r="T49" s="284" t="str">
        <f>IF(OR('Project Info'!$B$18="Open Procedure", 'Project Info'!$B$20="SQ"), IF(AND(Lotted?="Yes", No_Lots?&gt;=3), IF(Doc_Lot="All", IF(SQ_Same_Qs?="Yes", "Shade", ""), "Shade"), "Shade"), "Shade")</f>
        <v>Shade</v>
      </c>
      <c r="U49" s="284" t="str">
        <f>IF(OR('Project Info'!$B$20="SQ", Price_split=100), "Shade", IF(AND(Lotted?="Yes", No_Lots?&gt;=3), IF(Doc_Lot="All", IF(Tech_Same_Qs?="Yes", "Shade", ""), "Shade"), "Shade"))</f>
        <v>Shade</v>
      </c>
      <c r="V49" s="284" t="str">
        <f>IF(OR('Project Info'!$B$20="SQ", Price_split=100, Int_or_SV="Not applicable"), "Shade", IF(AND(Lotted?="Yes", No_Lots?&gt;=3), "", "Shade"))</f>
        <v>Shade</v>
      </c>
    </row>
    <row r="50" spans="1:22" ht="14">
      <c r="A50" s="284">
        <v>6</v>
      </c>
      <c r="B50" s="284">
        <v>8</v>
      </c>
      <c r="C50" s="284">
        <f t="array" ref="C50">IF(INDEX(TBL_003_DocMerge[PAS_or_SQ?], MATCH(1, (Job_No=TBL_003_DocMerge[Job_No])*(Doc_Lot=TBL_003_DocMerge[Lot]),0))="SQ", A50, B50)</f>
        <v>6</v>
      </c>
      <c r="D50" s="427" t="s">
        <v>441</v>
      </c>
      <c r="E50" s="428" t="str">
        <f t="array" ref="E50">IF(AND(INDEX(TBL_003_DocMerge[PAS_or_SQ?], MATCH(1, (Job_No=TBL_003_DocMerge[Job_No])*(Doc_Lot=TBL_003_DocMerge[Lot]),0))="SQ", D50="Q6.2"), "N/A", IF(OR(Lotted?="No",No_Lots?&lt;3),"N/A", IF(SQ_Same_Qs?="Yes", IF(SQ_Qs_Lot_1&gt;=$C50, INDEX(TBL_008_Qs_Lot_1[Max score], MATCH(1, (SUBSTITUTE($D50, "*", "")=TBL_008_Qs_Lot_1[Q.])*("Question"=TBL_008_Qs_Lot_1[Type]),0)), "N/A"), IF(SQ_Qs_Lot_3&gt;=$C50, INDEX(#REF!, MATCH(1, (SUBSTITUTE($D50, "*", "")=#REF!)*("Question"=#REF!),0)), "N/A"))))</f>
        <v>N/A</v>
      </c>
      <c r="F50" s="428" t="str">
        <f t="array" ref="F50">IF(OR(SQ_Weighted?="No", $E50="N/A", $E50=0),"N/A",IF(SQ_Same_Qs?="Yes", INDEX(TBL_008_Qs_Lot_1[Weighting],MATCH(1,(SUBSTITUTE($D50,"*","")=TBL_008_Qs_Lot_1[Q.])*("Question"=TBL_008_Qs_Lot_1[Type]),0)), INDEX(#REF!,MATCH(1,(SUBSTITUTE($D50,"*","")=#REF!)*("Question"=#REF!),0))))</f>
        <v>N/A</v>
      </c>
      <c r="G50" s="429" t="str">
        <f t="shared" si="4"/>
        <v>Question not used</v>
      </c>
      <c r="I50" s="424">
        <v>8</v>
      </c>
      <c r="J50" s="427" t="s">
        <v>1086</v>
      </c>
      <c r="K50" s="428" t="e">
        <f t="array" ref="K50">IF(OR(Lotted?="No", No_Lots?&lt;3), "N/A", IF(Tech_Same_Qs?="Yes", IF(Tech_Qs_Lot_1&gt;=I50, INDEX(TBL_008_Qs_Lot_1[Max score], MATCH(1, (J50=TBL_008_Qs_Lot_1[Q.])*("Question"=TBL_008_Qs_Lot_1[Type]),0)), "N/A"), IF(Tech_Qs_Lot_3&gt;=I50, INDEX(#REF!, MATCH(1, (J50=#REF!)*("Question"=#REF!),0)), "N/A")))</f>
        <v>#REF!</v>
      </c>
      <c r="L50" s="428" t="e">
        <f t="array" ref="L50">IF(OR(Tech_Weighted?="No", K50="N/A", K50=0), "N/A", IF(Tech_Same_Qs?="Yes", INDEX(TBL_008_Qs_Lot_1[Weighting], MATCH(1, (J50=TBL_008_Qs_Lot_1[Q.])*("Question"=TBL_008_Qs_Lot_1[Type]),0)), INDEX(#REF!, MATCH(1, (J50=#REF!)*("Question"=#REF!),0))))</f>
        <v>#REF!</v>
      </c>
      <c r="M50" s="429" t="e">
        <f t="shared" si="5"/>
        <v>#REF!</v>
      </c>
      <c r="P50" s="432"/>
      <c r="Q50" s="433"/>
      <c r="R50" s="433"/>
      <c r="S50" s="434"/>
      <c r="T50" s="284" t="str">
        <f>IF(OR('Project Info'!$B$18="Open Procedure", 'Project Info'!$B$20="SQ"), IF(AND(Lotted?="Yes", No_Lots?&gt;=3), IF(Doc_Lot="All", IF(SQ_Same_Qs?="Yes", "Shade", ""), "Shade"), "Shade"), "Shade")</f>
        <v>Shade</v>
      </c>
      <c r="U50" s="284" t="str">
        <f>IF(OR('Project Info'!$B$20="SQ", Price_split=100), "Shade", IF(AND(Lotted?="Yes", No_Lots?&gt;=3), IF(Doc_Lot="All", IF(Tech_Same_Qs?="Yes", "Shade", ""), "Shade"), "Shade"))</f>
        <v>Shade</v>
      </c>
      <c r="V50" s="284" t="str">
        <f>IF(OR('Project Info'!$B$20="SQ", Price_split=100, Int_or_SV="Not applicable"), "Shade", IF(AND(Lotted?="Yes", No_Lots?&gt;=3), "", "Shade"))</f>
        <v>Shade</v>
      </c>
    </row>
    <row r="51" spans="1:22" ht="14">
      <c r="A51" s="284">
        <v>7</v>
      </c>
      <c r="B51" s="284">
        <v>9</v>
      </c>
      <c r="C51" s="284">
        <f t="array" ref="C51">IF(INDEX(TBL_003_DocMerge[PAS_or_SQ?], MATCH(1, (Job_No=TBL_003_DocMerge[Job_No])*(Doc_Lot=TBL_003_DocMerge[Lot]),0))="SQ", A51, B51)</f>
        <v>7</v>
      </c>
      <c r="D51" s="427" t="s">
        <v>697</v>
      </c>
      <c r="E51" s="428" t="str">
        <f t="array" ref="E51">IF(AND(INDEX(TBL_003_DocMerge[PAS_or_SQ?], MATCH(1, (Job_No=TBL_003_DocMerge[Job_No])*(Doc_Lot=TBL_003_DocMerge[Lot]),0))="SQ", D51="Q6.2"), "N/A", IF(OR(Lotted?="No",No_Lots?&lt;3),"N/A", IF(SQ_Same_Qs?="Yes", IF(SQ_Qs_Lot_1&gt;=$C51, INDEX(TBL_008_Qs_Lot_1[Max score], MATCH(1, (SUBSTITUTE($D51, "*", "")=TBL_008_Qs_Lot_1[Q.])*("Question"=TBL_008_Qs_Lot_1[Type]),0)), "N/A"), IF(SQ_Qs_Lot_3&gt;=$C51, INDEX(#REF!, MATCH(1, (SUBSTITUTE($D51, "*", "")=#REF!)*("Question"=#REF!),0)), "N/A"))))</f>
        <v>N/A</v>
      </c>
      <c r="F51" s="428" t="str">
        <f t="array" ref="F51">IF(OR(SQ_Weighted?="No", $E51="N/A", $E51=0),"N/A",IF(SQ_Same_Qs?="Yes", INDEX(TBL_008_Qs_Lot_1[Weighting],MATCH(1,(SUBSTITUTE($D51,"*","")=TBL_008_Qs_Lot_1[Q.])*("Question"=TBL_008_Qs_Lot_1[Type]),0)), INDEX(#REF!,MATCH(1,(SUBSTITUTE($D51,"*","")=#REF!)*("Question"=#REF!),0))))</f>
        <v>N/A</v>
      </c>
      <c r="G51" s="429" t="str">
        <f t="shared" si="4"/>
        <v>Question not used</v>
      </c>
      <c r="I51" s="424">
        <v>9</v>
      </c>
      <c r="J51" s="427" t="s">
        <v>1087</v>
      </c>
      <c r="K51" s="428" t="e">
        <f t="array" ref="K51">IF(OR(Lotted?="No", No_Lots?&lt;3), "N/A", IF(Tech_Same_Qs?="Yes", IF(Tech_Qs_Lot_1&gt;=I51, INDEX(TBL_008_Qs_Lot_1[Max score], MATCH(1, (J51=TBL_008_Qs_Lot_1[Q.])*("Question"=TBL_008_Qs_Lot_1[Type]),0)), "N/A"), IF(Tech_Qs_Lot_3&gt;=I51, INDEX(#REF!, MATCH(1, (J51=#REF!)*("Question"=#REF!),0)), "N/A")))</f>
        <v>#REF!</v>
      </c>
      <c r="L51" s="428" t="e">
        <f t="array" ref="L51">IF(OR(Tech_Weighted?="No", K51="N/A", K51=0), "N/A", IF(Tech_Same_Qs?="Yes", INDEX(TBL_008_Qs_Lot_1[Weighting], MATCH(1, (J51=TBL_008_Qs_Lot_1[Q.])*("Question"=TBL_008_Qs_Lot_1[Type]),0)), INDEX(#REF!, MATCH(1, (J51=#REF!)*("Question"=#REF!),0))))</f>
        <v>#REF!</v>
      </c>
      <c r="M51" s="429" t="e">
        <f t="shared" si="5"/>
        <v>#REF!</v>
      </c>
      <c r="P51" s="432"/>
      <c r="Q51" s="433"/>
      <c r="R51" s="433"/>
      <c r="S51" s="434"/>
      <c r="T51" s="284" t="str">
        <f>IF(OR('Project Info'!$B$18="Open Procedure", 'Project Info'!$B$20="SQ"), IF(AND(Lotted?="Yes", No_Lots?&gt;=3), IF(Doc_Lot="All", IF(SQ_Same_Qs?="Yes", "Shade", ""), "Shade"), "Shade"), "Shade")</f>
        <v>Shade</v>
      </c>
      <c r="U51" s="284" t="str">
        <f>IF(OR('Project Info'!$B$20="SQ", Price_split=100), "Shade", IF(AND(Lotted?="Yes", No_Lots?&gt;=3), IF(Doc_Lot="All", IF(Tech_Same_Qs?="Yes", "Shade", ""), "Shade"), "Shade"))</f>
        <v>Shade</v>
      </c>
      <c r="V51" s="284" t="str">
        <f>IF(OR('Project Info'!$B$20="SQ", Price_split=100, Int_or_SV="Not applicable"), "Shade", IF(AND(Lotted?="Yes", No_Lots?&gt;=3), "", "Shade"))</f>
        <v>Shade</v>
      </c>
    </row>
    <row r="52" spans="1:22" ht="14">
      <c r="A52" s="284">
        <v>8</v>
      </c>
      <c r="B52" s="284">
        <v>10</v>
      </c>
      <c r="C52" s="284">
        <f t="array" ref="C52">IF(INDEX(TBL_003_DocMerge[PAS_or_SQ?], MATCH(1, (Job_No=TBL_003_DocMerge[Job_No])*(Doc_Lot=TBL_003_DocMerge[Lot]),0))="SQ", A52, B52)</f>
        <v>8</v>
      </c>
      <c r="D52" s="427" t="s">
        <v>708</v>
      </c>
      <c r="E52" s="428" t="str">
        <f t="array" ref="E52">IF(AND(INDEX(TBL_003_DocMerge[PAS_or_SQ?], MATCH(1, (Job_No=TBL_003_DocMerge[Job_No])*(Doc_Lot=TBL_003_DocMerge[Lot]),0))="SQ", D52="Q6.2"), "N/A", IF(OR(Lotted?="No",No_Lots?&lt;3),"N/A", IF(SQ_Same_Qs?="Yes", IF(SQ_Qs_Lot_1&gt;=$C52, INDEX(TBL_008_Qs_Lot_1[Max score], MATCH(1, (SUBSTITUTE($D52, "*", "")=TBL_008_Qs_Lot_1[Q.])*("Question"=TBL_008_Qs_Lot_1[Type]),0)), "N/A"), IF(SQ_Qs_Lot_3&gt;=$C52, INDEX(#REF!, MATCH(1, (SUBSTITUTE($D52, "*", "")=#REF!)*("Question"=#REF!),0)), "N/A"))))</f>
        <v>N/A</v>
      </c>
      <c r="F52" s="428" t="str">
        <f t="array" ref="F52">IF(OR(SQ_Weighted?="No", $E52="N/A", $E52=0),"N/A",IF(SQ_Same_Qs?="Yes", INDEX(TBL_008_Qs_Lot_1[Weighting],MATCH(1,(SUBSTITUTE($D52,"*","")=TBL_008_Qs_Lot_1[Q.])*("Question"=TBL_008_Qs_Lot_1[Type]),0)), INDEX(#REF!,MATCH(1,(SUBSTITUTE($D52,"*","")=#REF!)*("Question"=#REF!),0))))</f>
        <v>N/A</v>
      </c>
      <c r="G52" s="429" t="str">
        <f t="shared" si="4"/>
        <v>Question not used</v>
      </c>
      <c r="I52" s="424">
        <v>10</v>
      </c>
      <c r="J52" s="427" t="s">
        <v>1088</v>
      </c>
      <c r="K52" s="428" t="e">
        <f t="array" ref="K52">IF(OR(Lotted?="No", No_Lots?&lt;3), "N/A", IF(Tech_Same_Qs?="Yes", IF(Tech_Qs_Lot_1&gt;=I52, INDEX(TBL_008_Qs_Lot_1[Max score], MATCH(1, (J52=TBL_008_Qs_Lot_1[Q.])*("Question"=TBL_008_Qs_Lot_1[Type]),0)), "N/A"), IF(Tech_Qs_Lot_3&gt;=I52, INDEX(#REF!, MATCH(1, (J52=#REF!)*("Question"=#REF!),0)), "N/A")))</f>
        <v>#REF!</v>
      </c>
      <c r="L52" s="428" t="e">
        <f t="array" ref="L52">IF(OR(Tech_Weighted?="No", K52="N/A", K52=0), "N/A", IF(Tech_Same_Qs?="Yes", INDEX(TBL_008_Qs_Lot_1[Weighting], MATCH(1, (J52=TBL_008_Qs_Lot_1[Q.])*("Question"=TBL_008_Qs_Lot_1[Type]),0)), INDEX(#REF!, MATCH(1, (J52=#REF!)*("Question"=#REF!),0))))</f>
        <v>#REF!</v>
      </c>
      <c r="M52" s="429" t="e">
        <f t="shared" si="5"/>
        <v>#REF!</v>
      </c>
      <c r="P52" s="432"/>
      <c r="Q52" s="433"/>
      <c r="R52" s="433"/>
      <c r="S52" s="434"/>
      <c r="T52" s="284" t="str">
        <f>IF(OR('Project Info'!$B$18="Open Procedure", 'Project Info'!$B$20="SQ"), IF(AND(Lotted?="Yes", No_Lots?&gt;=3), IF(Doc_Lot="All", IF(SQ_Same_Qs?="Yes", "Shade", ""), "Shade"), "Shade"), "Shade")</f>
        <v>Shade</v>
      </c>
      <c r="U52" s="284" t="str">
        <f>IF(OR('Project Info'!$B$20="SQ", Price_split=100), "Shade", IF(AND(Lotted?="Yes", No_Lots?&gt;=3), IF(Doc_Lot="All", IF(Tech_Same_Qs?="Yes", "Shade", ""), "Shade"), "Shade"))</f>
        <v>Shade</v>
      </c>
      <c r="V52" s="284" t="str">
        <f>IF(OR('Project Info'!$B$20="SQ", Price_split=100, Int_or_SV="Not applicable"), "Shade", IF(AND(Lotted?="Yes", No_Lots?&gt;=3), "", "Shade"))</f>
        <v>Shade</v>
      </c>
    </row>
    <row r="53" spans="1:22" ht="14">
      <c r="A53" s="284">
        <v>9</v>
      </c>
      <c r="B53" s="284">
        <v>11</v>
      </c>
      <c r="C53" s="284">
        <f t="array" ref="C53">IF(INDEX(TBL_003_DocMerge[PAS_or_SQ?], MATCH(1, (Job_No=TBL_003_DocMerge[Job_No])*(Doc_Lot=TBL_003_DocMerge[Lot]),0))="SQ", A53, B53)</f>
        <v>9</v>
      </c>
      <c r="D53" s="427" t="s">
        <v>719</v>
      </c>
      <c r="E53" s="428" t="str">
        <f t="array" ref="E53">IF(AND(INDEX(TBL_003_DocMerge[PAS_or_SQ?], MATCH(1, (Job_No=TBL_003_DocMerge[Job_No])*(Doc_Lot=TBL_003_DocMerge[Lot]),0))="SQ", D53="Q6.2"), "N/A", IF(OR(Lotted?="No",No_Lots?&lt;3),"N/A", IF(SQ_Same_Qs?="Yes", IF(SQ_Qs_Lot_1&gt;=$C53, INDEX(TBL_008_Qs_Lot_1[Max score], MATCH(1, (SUBSTITUTE($D53, "*", "")=TBL_008_Qs_Lot_1[Q.])*("Question"=TBL_008_Qs_Lot_1[Type]),0)), "N/A"), IF(SQ_Qs_Lot_3&gt;=$C53, INDEX(#REF!, MATCH(1, (SUBSTITUTE($D53, "*", "")=#REF!)*("Question"=#REF!),0)), "N/A"))))</f>
        <v>N/A</v>
      </c>
      <c r="F53" s="428" t="str">
        <f t="array" ref="F53">IF(OR(SQ_Weighted?="No", $E53="N/A", $E53=0),"N/A",IF(SQ_Same_Qs?="Yes", INDEX(TBL_008_Qs_Lot_1[Weighting],MATCH(1,(SUBSTITUTE($D53,"*","")=TBL_008_Qs_Lot_1[Q.])*("Question"=TBL_008_Qs_Lot_1[Type]),0)), INDEX(#REF!,MATCH(1,(SUBSTITUTE($D53,"*","")=#REF!)*("Question"=#REF!),0))))</f>
        <v>N/A</v>
      </c>
      <c r="G53" s="429" t="str">
        <f t="shared" si="4"/>
        <v>Question not used</v>
      </c>
      <c r="J53" s="327" t="str">
        <f>IF(Tech_Weighted?="Yes", "", "Total:")</f>
        <v>Total:</v>
      </c>
      <c r="K53" s="431" t="e">
        <f>IF(Tech_Weighted?="Yes", "Total:", SUM(K43:K52))</f>
        <v>#REF!</v>
      </c>
      <c r="L53" s="324" t="e">
        <f>IF(No_Lots?&gt;=2, IF(SUM(L43:L52)=Tech_Weighting, SUM(L43:L52), "Error!"), "N/A")</f>
        <v>#REF!</v>
      </c>
      <c r="M53" s="325" t="s">
        <v>868</v>
      </c>
      <c r="Q53" s="424"/>
      <c r="R53" s="424"/>
      <c r="S53" s="424"/>
      <c r="T53" s="284" t="str">
        <f>IF(OR('Project Info'!$B$18="Open Procedure", 'Project Info'!$B$20="SQ"), IF(AND(Lotted?="Yes", No_Lots?&gt;=3), IF(Doc_Lot="All", IF(SQ_Same_Qs?="Yes", "Shade", ""), "Shade"), "Shade"), "Shade")</f>
        <v>Shade</v>
      </c>
      <c r="U53" s="284" t="str">
        <f>IF(OR('Project Info'!$B$20="SQ", Price_split=100), "Shade", IF(AND(Lotted?="Yes", No_Lots?&gt;=3), IF(Doc_Lot="All", IF(Tech_Same_Qs?="Yes", "Shade", ""), "Shade"), "Shade"))</f>
        <v>Shade</v>
      </c>
      <c r="V53" s="284" t="str">
        <f>IF(OR('Project Info'!$B$20="SQ", Price_split=100, Int_or_SV="Not applicable"), "Shade", IF(AND(Lotted?="Yes", No_Lots?&gt;=3), "", "Shade"))</f>
        <v>Shade</v>
      </c>
    </row>
    <row r="54" spans="1:22" ht="14">
      <c r="A54" s="284">
        <v>10</v>
      </c>
      <c r="B54" s="284">
        <v>12</v>
      </c>
      <c r="C54" s="284">
        <f t="array" ref="C54">IF(INDEX(TBL_003_DocMerge[PAS_or_SQ?], MATCH(1, (Job_No=TBL_003_DocMerge[Job_No])*(Doc_Lot=TBL_003_DocMerge[Lot]),0))="SQ", A54, B54)</f>
        <v>10</v>
      </c>
      <c r="D54" s="427" t="s">
        <v>730</v>
      </c>
      <c r="E54" s="428" t="str">
        <f t="array" ref="E54">IF(AND(INDEX(TBL_003_DocMerge[PAS_or_SQ?], MATCH(1, (Job_No=TBL_003_DocMerge[Job_No])*(Doc_Lot=TBL_003_DocMerge[Lot]),0))="SQ", D54="Q6.2"), "N/A", IF(OR(Lotted?="No",No_Lots?&lt;3),"N/A", IF(SQ_Same_Qs?="Yes", IF(SQ_Qs_Lot_1&gt;=$C54, INDEX(TBL_008_Qs_Lot_1[Max score], MATCH(1, (SUBSTITUTE($D54, "*", "")=TBL_008_Qs_Lot_1[Q.])*("Question"=TBL_008_Qs_Lot_1[Type]),0)), "N/A"), IF(SQ_Qs_Lot_3&gt;=$C54, INDEX(#REF!, MATCH(1, (SUBSTITUTE($D54, "*", "")=#REF!)*("Question"=#REF!),0)), "N/A"))))</f>
        <v>N/A</v>
      </c>
      <c r="F54" s="428" t="str">
        <f t="array" ref="F54">IF(OR(SQ_Weighted?="No", $E54="N/A", $E54=0),"N/A",IF(SQ_Same_Qs?="Yes", INDEX(TBL_008_Qs_Lot_1[Weighting],MATCH(1,(SUBSTITUTE($D54,"*","")=TBL_008_Qs_Lot_1[Q.])*("Question"=TBL_008_Qs_Lot_1[Type]),0)), INDEX(#REF!,MATCH(1,(SUBSTITUTE($D54,"*","")=#REF!)*("Question"=#REF!),0))))</f>
        <v>N/A</v>
      </c>
      <c r="G54" s="429" t="str">
        <f t="shared" si="4"/>
        <v>Question not used</v>
      </c>
      <c r="T54" s="284" t="str">
        <f>IF(OR('Project Info'!$B$18="Open Procedure", 'Project Info'!$B$20="SQ"), IF(AND(Lotted?="Yes", No_Lots?&gt;=3), IF(Doc_Lot="All", IF(SQ_Same_Qs?="Yes", "Shade", ""), "Shade"), "Shade"), "Shade")</f>
        <v>Shade</v>
      </c>
      <c r="U54" s="284" t="str">
        <f>IF(OR('Project Info'!$B$20="SQ", Price_split=100), "Shade", IF(AND(Lotted?="Yes", No_Lots?&gt;=3), IF(Doc_Lot="All", IF(Tech_Same_Qs?="Yes", "Shade", ""), "Shade"), "Shade"))</f>
        <v>Shade</v>
      </c>
      <c r="V54" s="284" t="str">
        <f>IF(OR('Project Info'!$B$20="SQ", Price_split=100, Int_or_SV="Not applicable"), "Shade", IF(AND(Lotted?="Yes", No_Lots?&gt;=3), "", "Shade"))</f>
        <v>Shade</v>
      </c>
    </row>
    <row r="55" spans="1:22" ht="14">
      <c r="A55" s="284">
        <v>11</v>
      </c>
      <c r="B55" s="284">
        <v>13</v>
      </c>
      <c r="C55" s="284">
        <f t="array" ref="C55">IF(INDEX(TBL_003_DocMerge[PAS_or_SQ?], MATCH(1, (Job_No=TBL_003_DocMerge[Job_No])*(Doc_Lot=TBL_003_DocMerge[Lot]),0))="SQ", A55, B55)</f>
        <v>11</v>
      </c>
      <c r="D55" s="427" t="s">
        <v>741</v>
      </c>
      <c r="E55" s="428" t="str">
        <f t="array" ref="E55">IF(AND(INDEX(TBL_003_DocMerge[PAS_or_SQ?], MATCH(1, (Job_No=TBL_003_DocMerge[Job_No])*(Doc_Lot=TBL_003_DocMerge[Lot]),0))="SQ", D55="Q6.2"), "N/A", IF(OR(Lotted?="No",No_Lots?&lt;3),"N/A", IF(SQ_Same_Qs?="Yes", IF(SQ_Qs_Lot_1&gt;=$C55, INDEX(TBL_008_Qs_Lot_1[Max score], MATCH(1, (SUBSTITUTE($D55, "*", "")=TBL_008_Qs_Lot_1[Q.])*("Question"=TBL_008_Qs_Lot_1[Type]),0)), "N/A"), IF(SQ_Qs_Lot_3&gt;=$C55, INDEX(#REF!, MATCH(1, (SUBSTITUTE($D55, "*", "")=#REF!)*("Question"=#REF!),0)), "N/A"))))</f>
        <v>N/A</v>
      </c>
      <c r="F55" s="428" t="str">
        <f t="array" ref="F55">IF(OR(SQ_Weighted?="No", $E55="N/A", $E55=0),"N/A",IF(SQ_Same_Qs?="Yes", INDEX(TBL_008_Qs_Lot_1[Weighting],MATCH(1,(SUBSTITUTE($D55,"*","")=TBL_008_Qs_Lot_1[Q.])*("Question"=TBL_008_Qs_Lot_1[Type]),0)), INDEX(#REF!,MATCH(1,(SUBSTITUTE($D55,"*","")=#REF!)*("Question"=#REF!),0))))</f>
        <v>N/A</v>
      </c>
      <c r="G55" s="429" t="str">
        <f t="shared" si="4"/>
        <v>Question not used</v>
      </c>
      <c r="T55" s="284" t="str">
        <f>IF(OR('Project Info'!$B$18="Open Procedure", 'Project Info'!$B$20="SQ"), IF(AND(Lotted?="Yes", No_Lots?&gt;=3), IF(Doc_Lot="All", IF(SQ_Same_Qs?="Yes", "Shade", ""), "Shade"), "Shade"), "Shade")</f>
        <v>Shade</v>
      </c>
      <c r="U55" s="284" t="str">
        <f>IF(OR('Project Info'!$B$20="SQ", Price_split=100), "Shade", IF(AND(Lotted?="Yes", No_Lots?&gt;=3), IF(Doc_Lot="All", IF(Tech_Same_Qs?="Yes", "Shade", ""), "Shade"), "Shade"))</f>
        <v>Shade</v>
      </c>
      <c r="V55" s="284" t="str">
        <f>IF(OR('Project Info'!$B$20="SQ", Price_split=100, Int_or_SV="Not applicable"), "Shade", IF(AND(Lotted?="Yes", No_Lots?&gt;=3), "", "Shade"))</f>
        <v>Shade</v>
      </c>
    </row>
    <row r="56" spans="1:22" ht="14">
      <c r="D56" s="327" t="str">
        <f>IF(SQ_Weighted?="Yes", "", "Total:")</f>
        <v>Total:</v>
      </c>
      <c r="E56" s="431">
        <f>IF(SQ_Weighted?="Yes", "Total:", SUM(E43:E55))</f>
        <v>20</v>
      </c>
      <c r="F56" s="324" t="str">
        <f>IF(SQ_Weighted?="Yes", IF(OR(Lotted?="No",No_Lots?&lt;3),"N/A", IF((SUM(F43:F55)-F45)=100, 100, "Error!")),"N/A")</f>
        <v>N/A</v>
      </c>
      <c r="G56" s="325" t="s">
        <v>868</v>
      </c>
      <c r="T56" s="284" t="str">
        <f>IF(OR('Project Info'!$B$18="Open Procedure", 'Project Info'!$B$20="SQ"), IF(AND(Lotted?="Yes", No_Lots?&gt;=3), IF(Doc_Lot="All", IF(SQ_Same_Qs?="Yes", "Shade", ""), "Shade"), "Shade"), "Shade")</f>
        <v>Shade</v>
      </c>
      <c r="U56" s="284" t="str">
        <f>IF(OR('Project Info'!$B$20="SQ", Price_split=100), "Shade", IF(AND(Lotted?="Yes", No_Lots?&gt;=3), IF(Doc_Lot="All", IF(Tech_Same_Qs?="Yes", "Shade", ""), "Shade"), "Shade"))</f>
        <v>Shade</v>
      </c>
      <c r="V56" s="284" t="str">
        <f>IF(OR('Project Info'!$B$20="SQ", Price_split=100, Int_or_SV="Not applicable"), "Shade", IF(AND(Lotted?="Yes", No_Lots?&gt;=3), "", "Shade"))</f>
        <v>Shade</v>
      </c>
    </row>
    <row r="57" spans="1:22">
      <c r="E57" s="425"/>
      <c r="F57" s="425"/>
      <c r="G57" s="426"/>
    </row>
    <row r="58" spans="1:22">
      <c r="E58" s="425"/>
      <c r="F58" s="425"/>
      <c r="G58" s="426"/>
    </row>
    <row r="59" spans="1:22" ht="14">
      <c r="D59" s="330" t="str">
        <f>IF(AND(Lotted?="Yes", No_Lots?&gt;=4), "Lot 4:", "")</f>
        <v>Lot 4:</v>
      </c>
      <c r="E59" s="329" t="e">
        <f>IF(AND(Lotted?="Yes", No_Lots?&gt;=4), TBL_003_DocMerge[Lot_4_Name], "Ignore this table")</f>
        <v>#VALUE!</v>
      </c>
      <c r="F59" s="320"/>
      <c r="G59" s="319"/>
      <c r="J59" s="330" t="str">
        <f>IF(AND(Lotted?="Yes", No_Lots?&gt;=4), "Lot 4:", "")</f>
        <v>Lot 4:</v>
      </c>
      <c r="K59" s="329" t="e">
        <f>IF(AND(Lotted?="Yes", No_Lots?&gt;=4), TBL_003_DocMerge[Lot_4_Name], "Ignore this table")</f>
        <v>#VALUE!</v>
      </c>
      <c r="L59" s="320"/>
      <c r="M59" s="319"/>
      <c r="P59" s="330" t="str">
        <f>IF(AND(Lotted?="Yes", No_Lots?&gt;=4), "Lot 4:", "")</f>
        <v>Lot 4:</v>
      </c>
      <c r="Q59" s="329" t="e">
        <f>IF(AND(Lotted?="Yes", No_Lots?&gt;=4), TBL_003_DocMerge[Lot_4_Name], "Ignore this table")</f>
        <v>#VALUE!</v>
      </c>
      <c r="R59" s="320"/>
      <c r="S59" s="319"/>
      <c r="T59" s="284" t="str">
        <f>IF(OR('Project Info'!$B$18="Open Procedure", 'Project Info'!$B$20="SQ"), IF(AND(Lotted?="Yes", No_Lots?&gt;=4), IF(Doc_Lot="All", IF(SQ_Same_Qs?="Yes", "Shade", ""), "Shade"), "Shade"), "Shade")</f>
        <v>Shade</v>
      </c>
      <c r="U59" s="284" t="str">
        <f>IF(OR('Project Info'!$B$20="SQ", Price_split=100), "Shade", IF(AND(Lotted?="Yes", No_Lots?&gt;=4), IF(Doc_Lot="All", IF(Tech_Same_Qs?="Yes", "Shade", ""), "Shade"), "Shade"))</f>
        <v>Shade</v>
      </c>
      <c r="V59" s="284" t="str">
        <f>IF(OR('Project Info'!$B$20="SQ", Price_split=100, Int_or_SV="Not applicable"), "Shade", IF(AND(Lotted?="Yes", No_Lots?&gt;=4), "", "Shade"))</f>
        <v>Shade</v>
      </c>
    </row>
    <row r="60" spans="1:22" ht="28">
      <c r="A60" s="354" t="s">
        <v>928</v>
      </c>
      <c r="B60" s="354" t="s">
        <v>1135</v>
      </c>
      <c r="C60" s="354" t="s">
        <v>1134</v>
      </c>
      <c r="D60" s="321" t="s">
        <v>864</v>
      </c>
      <c r="E60" s="322" t="s">
        <v>865</v>
      </c>
      <c r="F60" s="322" t="s">
        <v>862</v>
      </c>
      <c r="G60" s="323" t="s">
        <v>866</v>
      </c>
      <c r="J60" s="321" t="s">
        <v>864</v>
      </c>
      <c r="K60" s="322" t="s">
        <v>865</v>
      </c>
      <c r="L60" s="322" t="s">
        <v>862</v>
      </c>
      <c r="M60" s="323" t="s">
        <v>866</v>
      </c>
      <c r="P60" s="321" t="s">
        <v>864</v>
      </c>
      <c r="Q60" s="322" t="s">
        <v>865</v>
      </c>
      <c r="R60" s="322" t="s">
        <v>862</v>
      </c>
      <c r="S60" s="323" t="s">
        <v>866</v>
      </c>
      <c r="T60" s="284" t="str">
        <f>IF(OR('Project Info'!$B$18="Open Procedure", 'Project Info'!$B$20="SQ"), IF(AND(Lotted?="Yes", No_Lots?&gt;=4), IF(Doc_Lot="All", IF(SQ_Same_Qs?="Yes", "Shade", ""), "Shade"), "Shade"), "Shade")</f>
        <v>Shade</v>
      </c>
      <c r="U60" s="284" t="str">
        <f>IF(OR('Project Info'!$B$20="SQ", Price_split=100), "Shade", IF(AND(Lotted?="Yes", No_Lots?&gt;=4), IF(Doc_Lot="All", IF(Tech_Same_Qs?="Yes", "Shade", ""), "Shade"), "Shade"))</f>
        <v>Shade</v>
      </c>
      <c r="V60" s="284" t="str">
        <f>IF(OR('Project Info'!$B$20="SQ", Price_split=100, Int_or_SV="Not applicable"), "Shade", IF(AND(Lotted?="Yes", No_Lots?&gt;=4), "", "Shade"))</f>
        <v>Shade</v>
      </c>
    </row>
    <row r="61" spans="1:22" ht="14">
      <c r="A61" s="284">
        <v>1</v>
      </c>
      <c r="B61" s="284">
        <v>1</v>
      </c>
      <c r="C61" s="284">
        <f t="array" ref="C61">IF(INDEX(TBL_003_DocMerge[PAS_or_SQ?], MATCH(1, (Job_No=TBL_003_DocMerge[Job_No])*(Doc_Lot=TBL_003_DocMerge[Lot]),0))="SQ", A61, B61)</f>
        <v>1</v>
      </c>
      <c r="D61" s="427" t="s">
        <v>649</v>
      </c>
      <c r="E61" s="428">
        <f t="array" ref="E61">IF(AND(INDEX(TBL_003_DocMerge[PAS_or_SQ?], MATCH(1, (Job_No=TBL_003_DocMerge[Job_No])*(Doc_Lot=TBL_003_DocMerge[Lot]),0))="SQ", D61="Q6.2"), "N/A", IF(OR(Lotted?="No",No_Lots?&lt;4),"N/A", IF(SQ_Same_Qs?="Yes", IF(SQ_Qs_Lot_1&gt;=$C61, INDEX(TBL_008_Qs_Lot_1[Max score], MATCH(1, (SUBSTITUTE($D61, "*", "")=TBL_008_Qs_Lot_1[Q.])*("Question"=TBL_008_Qs_Lot_1[Type]),0)), "N/A"), IF(SQ_Qs_Lot_4&gt;=$C61, INDEX(#REF!, MATCH(1, (SUBSTITUTE($D61, "*", "")=#REF!)*("Question"=#REF!),0)), "N/A"))))</f>
        <v>15</v>
      </c>
      <c r="F61" s="428" t="str">
        <f t="array" ref="F61">IF(OR(SQ_Weighted?="No", $E61="N/A", $E61=0),"N/A",IF(SQ_Same_Qs?="Yes", INDEX(TBL_008_Qs_Lot_1[Weighting],MATCH(1,(SUBSTITUTE($D61,"*","")=TBL_008_Qs_Lot_1[Q.])*("Question"=TBL_008_Qs_Lot_1[Type]),0)), INDEX(#REF!,MATCH(1,(SUBSTITUTE($D61,"*","")=#REF!)*("Question"=#REF!),0))))</f>
        <v>N/A</v>
      </c>
      <c r="G61" s="429" t="str">
        <f t="shared" ref="G61:G73" si="6">IF(F61="N/A", "Question not used", CONCATENATE("([Marks awarded for ", SUBSTITUTE(D61, "*", ""), "] / ", E61, ".00) x ", F61, ".00"))</f>
        <v>Question not used</v>
      </c>
      <c r="I61" s="424">
        <v>1</v>
      </c>
      <c r="J61" s="427" t="s">
        <v>1079</v>
      </c>
      <c r="K61" s="428" t="e">
        <f t="array" ref="K61">IF(OR(Lotted?="No", No_Lots?&lt;4), "N/A", IF(Tech_Same_Qs?="Yes", IF(Tech_Qs_Lot_1&gt;=I61, INDEX(TBL_008_Qs_Lot_1[Max score], MATCH(1, (J61=TBL_008_Qs_Lot_1[Q.])*("Question"=TBL_008_Qs_Lot_1[Type]),0)), "N/A"), IF(Tech_Qs_Lot_4&gt;=I61, INDEX(#REF!, MATCH(1, (J61=#REF!)*("Question"=#REF!),0)), "N/A")))</f>
        <v>#REF!</v>
      </c>
      <c r="L61" s="428" t="e">
        <f t="array" ref="L61">IF(OR(Tech_Weighted?="No", K61="N/A", K61=0), "N/A", IF(Tech_Same_Qs?="Yes", INDEX(TBL_008_Qs_Lot_1[Weighting], MATCH(1, (J61=TBL_008_Qs_Lot_1[Q.])*("Question"=TBL_008_Qs_Lot_1[Type]),0)), INDEX(#REF!, MATCH(1, (J61=#REF!)*("Question"=#REF!),0))))</f>
        <v>#REF!</v>
      </c>
      <c r="M61" s="429" t="e">
        <f t="shared" ref="M61:M70" si="7">IF(L61="N/A", "Question not used", CONCATENATE("([Marks awarded for ", J61, "] / ", K61, ".00) x ", L61, ".00"))</f>
        <v>#REF!</v>
      </c>
      <c r="O61" s="424">
        <v>1</v>
      </c>
      <c r="P61" s="427" t="s">
        <v>1089</v>
      </c>
      <c r="Q61" s="428" t="str">
        <f t="array" ref="Q61">IF(OR(Int_or_SV="Not applicable", Lotted?="No", No_Lots?&lt;4), "N/A", IF(IntSV_Same_Qs?="Yes", IF(IntSV_Qs_Lot_1&gt;=O61, INDEX(TBL_008_Qs_Lot_1[Max score], MATCH(1, (P61=TBL_008_Qs_Lot_1[Q.])*("Question"=TBL_008_Qs_Lot_1[Type]),0)), "N/A"), IF(IntSV_Qs_Lot_4&gt;=O61, INDEX(#REF!, MATCH(1, (P61=#REF!)*("Question"=#REF!),0)), "N/A")))</f>
        <v>N/A</v>
      </c>
      <c r="R61" s="428" t="str">
        <f t="array" ref="R61">IF(OR(IntSV_Weighted?="No", Q61="N/A", Q61=0), "N/A", IF(IntSV_Same_Qs?="Yes", INDEX(TBL_008_Qs_Lot_1[Weighting], MATCH(1, (P61=TBL_008_Qs_Lot_1[Q.])*("Question"=TBL_008_Qs_Lot_1[Type]),0)), INDEX(#REF!, MATCH(1, (P61=#REF!)*("Question"=#REF!),0))))</f>
        <v>N/A</v>
      </c>
      <c r="S61" s="429" t="str">
        <f>IF(R61="N/A", "Question not used", CONCATENATE("([Marks awarded for ", P61, "] / ", Q61, ".00) x ", R61, ".00"))</f>
        <v>Question not used</v>
      </c>
      <c r="T61" s="284" t="str">
        <f>IF(OR('Project Info'!$B$18="Open Procedure", 'Project Info'!$B$20="SQ"), IF(AND(Lotted?="Yes", No_Lots?&gt;=4), IF(Doc_Lot="All", IF(SQ_Same_Qs?="Yes", "Shade", ""), "Shade"), "Shade"), "Shade")</f>
        <v>Shade</v>
      </c>
      <c r="U61" s="284" t="str">
        <f>IF(OR('Project Info'!$B$20="SQ", Price_split=100), "Shade", IF(AND(Lotted?="Yes", No_Lots?&gt;=4), IF(Doc_Lot="All", IF(Tech_Same_Qs?="Yes", "Shade", ""), "Shade"), "Shade"))</f>
        <v>Shade</v>
      </c>
      <c r="V61" s="284" t="str">
        <f>IF(OR('Project Info'!$B$20="SQ", Price_split=100, Int_or_SV="Not applicable"), "Shade", IF(AND(Lotted?="Yes", No_Lots?&gt;=4), "", "Shade"))</f>
        <v>Shade</v>
      </c>
    </row>
    <row r="62" spans="1:22" ht="14">
      <c r="A62" s="284">
        <v>1</v>
      </c>
      <c r="B62" s="284">
        <v>2</v>
      </c>
      <c r="C62" s="284">
        <f t="array" ref="C62">IF(INDEX(TBL_003_DocMerge[PAS_or_SQ?], MATCH(1, (Job_No=TBL_003_DocMerge[Job_No])*(Doc_Lot=TBL_003_DocMerge[Lot]),0))="SQ", A62, B62)</f>
        <v>1</v>
      </c>
      <c r="D62" s="427" t="s">
        <v>653</v>
      </c>
      <c r="E62" s="428" t="str">
        <f t="array" ref="E62">IF(AND(INDEX(TBL_003_DocMerge[PAS_or_SQ?], MATCH(1, (Job_No=TBL_003_DocMerge[Job_No])*(Doc_Lot=TBL_003_DocMerge[Lot]),0))="SQ", D62="Q6.2"), "N/A", IF(OR(Lotted?="No",No_Lots?&lt;4),"N/A", IF(SQ_Same_Qs?="Yes", IF(SQ_Qs_Lot_1&gt;=$C62, INDEX(TBL_008_Qs_Lot_1[Max score], MATCH(1, (SUBSTITUTE($D62, "*", "")=TBL_008_Qs_Lot_1[Q.])*("Question"=TBL_008_Qs_Lot_1[Type]),0)), "N/A"), IF(SQ_Qs_Lot_4&gt;=$C62, INDEX(#REF!, MATCH(1, (SUBSTITUTE($D62, "*", "")=#REF!)*("Question"=#REF!),0)), "N/A"))))</f>
        <v>N/A</v>
      </c>
      <c r="F62" s="428" t="str">
        <f t="array" ref="F62">IF(OR(SQ_Weighted?="No", $E62="N/A", $E62=0),"N/A",IF(SQ_Same_Qs?="Yes", INDEX(TBL_008_Qs_Lot_1[Weighting],MATCH(1,(SUBSTITUTE($D62,"*","")=TBL_008_Qs_Lot_1[Q.])*("Question"=TBL_008_Qs_Lot_1[Type]),0)), INDEX(#REF!,MATCH(1,(SUBSTITUTE($D62,"*","")=#REF!)*("Question"=#REF!),0))))</f>
        <v>N/A</v>
      </c>
      <c r="G62" s="429" t="str">
        <f t="shared" si="6"/>
        <v>Question not used</v>
      </c>
      <c r="I62" s="424">
        <v>2</v>
      </c>
      <c r="J62" s="427" t="s">
        <v>1080</v>
      </c>
      <c r="K62" s="428" t="e">
        <f t="array" ref="K62">IF(OR(Lotted?="No", No_Lots?&lt;4), "N/A", IF(Tech_Same_Qs?="Yes", IF(Tech_Qs_Lot_1&gt;=I62, INDEX(TBL_008_Qs_Lot_1[Max score], MATCH(1, (J62=TBL_008_Qs_Lot_1[Q.])*("Question"=TBL_008_Qs_Lot_1[Type]),0)), "N/A"), IF(Tech_Qs_Lot_4&gt;=I62, INDEX(#REF!, MATCH(1, (J62=#REF!)*("Question"=#REF!),0)), "N/A")))</f>
        <v>#REF!</v>
      </c>
      <c r="L62" s="428" t="e">
        <f t="array" ref="L62">IF(OR(Tech_Weighted?="No", K62="N/A", K62=0), "N/A", IF(Tech_Same_Qs?="Yes", INDEX(TBL_008_Qs_Lot_1[Weighting], MATCH(1, (J62=TBL_008_Qs_Lot_1[Q.])*("Question"=TBL_008_Qs_Lot_1[Type]),0)), INDEX(#REF!, MATCH(1, (J62=#REF!)*("Question"=#REF!),0))))</f>
        <v>#REF!</v>
      </c>
      <c r="M62" s="429" t="e">
        <f t="shared" si="7"/>
        <v>#REF!</v>
      </c>
      <c r="O62" s="424">
        <v>2</v>
      </c>
      <c r="P62" s="427" t="s">
        <v>1090</v>
      </c>
      <c r="Q62" s="428" t="str">
        <f t="array" ref="Q62">IF(OR(Int_or_SV="Not applicable", Lotted?="No", No_Lots?&lt;4), "N/A", IF(IntSV_Same_Qs?="Yes", IF(IntSV_Qs_Lot_1&gt;=O62, INDEX(TBL_008_Qs_Lot_1[Max score], MATCH(1, (P62=TBL_008_Qs_Lot_1[Q.])*("Question"=TBL_008_Qs_Lot_1[Type]),0)), "N/A"), IF(IntSV_Qs_Lot_4&gt;=O62, INDEX(#REF!, MATCH(1, (P62=#REF!)*("Question"=#REF!),0)), "N/A")))</f>
        <v>N/A</v>
      </c>
      <c r="R62" s="428" t="str">
        <f t="array" ref="R62">IF(OR(IntSV_Weighted?="No", Q62="N/A", Q62=0), "N/A", IF(IntSV_Same_Qs?="Yes", INDEX(TBL_008_Qs_Lot_1[Weighting], MATCH(1, (P62=TBL_008_Qs_Lot_1[Q.])*("Question"=TBL_008_Qs_Lot_1[Type]),0)), INDEX(#REF!, MATCH(1, (P62=#REF!)*("Question"=#REF!),0))))</f>
        <v>N/A</v>
      </c>
      <c r="S62" s="429" t="str">
        <f>IF(R62="N/A", "Question not used", CONCATENATE("([Marks awarded for ", P62, "] / ", Q62, ".00) x ", R62, ".00"))</f>
        <v>Question not used</v>
      </c>
      <c r="T62" s="284" t="str">
        <f>IF(OR('Project Info'!$B$18="Open Procedure", 'Project Info'!$B$20="SQ"), IF(AND(Lotted?="Yes", No_Lots?&gt;=4), IF(Doc_Lot="All", IF(SQ_Same_Qs?="Yes", "Shade", ""), "Shade"), "Shade"), "Shade")</f>
        <v>Shade</v>
      </c>
      <c r="U62" s="284" t="str">
        <f>IF(OR('Project Info'!$B$20="SQ", Price_split=100), "Shade", IF(AND(Lotted?="Yes", No_Lots?&gt;=4), IF(Doc_Lot="All", IF(Tech_Same_Qs?="Yes", "Shade", ""), "Shade"), "Shade"))</f>
        <v>Shade</v>
      </c>
      <c r="V62" s="284" t="str">
        <f>IF(OR('Project Info'!$B$20="SQ", Price_split=100, Int_or_SV="Not applicable"), "Shade", IF(AND(Lotted?="Yes", No_Lots?&gt;=4), "", "Shade"))</f>
        <v>Shade</v>
      </c>
    </row>
    <row r="63" spans="1:22" ht="14">
      <c r="A63" s="284">
        <v>1</v>
      </c>
      <c r="B63" s="284">
        <v>3</v>
      </c>
      <c r="C63" s="284">
        <f t="array" ref="C63">IF(INDEX(TBL_003_DocMerge[PAS_or_SQ?], MATCH(1, (Job_No=TBL_003_DocMerge[Job_No])*(Doc_Lot=TBL_003_DocMerge[Lot]),0))="SQ", A63, B63)</f>
        <v>1</v>
      </c>
      <c r="D63" s="367" t="str">
        <f t="array" ref="D63">IF(INDEX(TBL_003_DocMerge[PAS_or_SQ?], MATCH(1, (Job_No=TBL_003_DocMerge[Job_No])*(Doc_Lot=TBL_003_DocMerge[Lot]),0))="SQ", "Q6.3*", "Q6.3")</f>
        <v>Q6.3*</v>
      </c>
      <c r="E63" s="428">
        <f t="array" ref="E63">IF(AND(INDEX(TBL_003_DocMerge[PAS_or_SQ?], MATCH(1, (Job_No=TBL_003_DocMerge[Job_No])*(Doc_Lot=TBL_003_DocMerge[Lot]),0))="SQ", D63="Q6.2"), "N/A", IF(OR(Lotted?="No",No_Lots?&lt;4),"N/A", IF(SQ_Same_Qs?="Yes", IF(SQ_Qs_Lot_1&gt;=$C63, INDEX(TBL_008_Qs_Lot_1[Max score], MATCH(1, (SUBSTITUTE($D63, "*", "")=TBL_008_Qs_Lot_1[Q.])*("Question"=TBL_008_Qs_Lot_1[Type]),0)), "N/A"), IF(SQ_Qs_Lot_4&gt;=$C63, INDEX(#REF!, MATCH(1, (SUBSTITUTE($D63, "*", "")=#REF!)*("Question"=#REF!),0)), "N/A"))))</f>
        <v>5</v>
      </c>
      <c r="F63" s="428" t="str">
        <f t="array" ref="F63">IF(OR(SQ_Weighted?="No", $E63="N/A", $E63=0),"N/A",IF(SQ_Same_Qs?="Yes", INDEX(TBL_008_Qs_Lot_1[Weighting],MATCH(1,(SUBSTITUTE($D63,"*","")=TBL_008_Qs_Lot_1[Q.])*("Question"=TBL_008_Qs_Lot_1[Type]),0)), INDEX(#REF!,MATCH(1,(SUBSTITUTE($D63,"*","")=#REF!)*("Question"=#REF!),0))))</f>
        <v>N/A</v>
      </c>
      <c r="G63" s="429" t="str">
        <f t="shared" si="6"/>
        <v>Question not used</v>
      </c>
      <c r="I63" s="424">
        <v>3</v>
      </c>
      <c r="J63" s="427" t="s">
        <v>1081</v>
      </c>
      <c r="K63" s="428" t="e">
        <f t="array" ref="K63">IF(OR(Lotted?="No", No_Lots?&lt;4), "N/A", IF(Tech_Same_Qs?="Yes", IF(Tech_Qs_Lot_1&gt;=I63, INDEX(TBL_008_Qs_Lot_1[Max score], MATCH(1, (J63=TBL_008_Qs_Lot_1[Q.])*("Question"=TBL_008_Qs_Lot_1[Type]),0)), "N/A"), IF(Tech_Qs_Lot_4&gt;=I63, INDEX(#REF!, MATCH(1, (J63=#REF!)*("Question"=#REF!),0)), "N/A")))</f>
        <v>#REF!</v>
      </c>
      <c r="L63" s="428" t="e">
        <f t="array" ref="L63">IF(OR(Tech_Weighted?="No", K63="N/A", K63=0), "N/A", IF(Tech_Same_Qs?="Yes", INDEX(TBL_008_Qs_Lot_1[Weighting], MATCH(1, (J63=TBL_008_Qs_Lot_1[Q.])*("Question"=TBL_008_Qs_Lot_1[Type]),0)), INDEX(#REF!, MATCH(1, (J63=#REF!)*("Question"=#REF!),0))))</f>
        <v>#REF!</v>
      </c>
      <c r="M63" s="429" t="e">
        <f t="shared" si="7"/>
        <v>#REF!</v>
      </c>
      <c r="O63" s="424">
        <v>3</v>
      </c>
      <c r="P63" s="427" t="s">
        <v>1091</v>
      </c>
      <c r="Q63" s="428" t="str">
        <f t="array" ref="Q63">IF(OR(Int_or_SV="Not applicable", Lotted?="No", No_Lots?&lt;4), "N/A", IF(IntSV_Same_Qs?="Yes", IF(IntSV_Qs_Lot_1&gt;=O63, INDEX(TBL_008_Qs_Lot_1[Max score], MATCH(1, (P63=TBL_008_Qs_Lot_1[Q.])*("Question"=TBL_008_Qs_Lot_1[Type]),0)), "N/A"), IF(IntSV_Qs_Lot_4&gt;=O63, INDEX(#REF!, MATCH(1, (P63=#REF!)*("Question"=#REF!),0)), "N/A")))</f>
        <v>N/A</v>
      </c>
      <c r="R63" s="428" t="str">
        <f t="array" ref="R63">IF(OR(IntSV_Weighted?="No", Q63="N/A", Q63=0), "N/A", IF(IntSV_Same_Qs?="Yes", INDEX(TBL_008_Qs_Lot_1[Weighting], MATCH(1, (P63=TBL_008_Qs_Lot_1[Q.])*("Question"=TBL_008_Qs_Lot_1[Type]),0)), INDEX(#REF!, MATCH(1, (P63=#REF!)*("Question"=#REF!),0))))</f>
        <v>N/A</v>
      </c>
      <c r="S63" s="429" t="str">
        <f>IF(R63="N/A", "Question not used", CONCATENATE("([Marks awarded for ", P63, "] / ", Q63, ".00) x ", R63, ".00"))</f>
        <v>Question not used</v>
      </c>
      <c r="T63" s="284" t="str">
        <f>IF(OR('Project Info'!$B$18="Open Procedure", 'Project Info'!$B$20="SQ"), IF(AND(Lotted?="Yes", No_Lots?&gt;=4), IF(Doc_Lot="All", IF(SQ_Same_Qs?="Yes", "Shade", ""), "Shade"), "Shade"), "Shade")</f>
        <v>Shade</v>
      </c>
      <c r="U63" s="284" t="str">
        <f>IF(OR('Project Info'!$B$20="SQ", Price_split=100), "Shade", IF(AND(Lotted?="Yes", No_Lots?&gt;=4), IF(Doc_Lot="All", IF(Tech_Same_Qs?="Yes", "Shade", ""), "Shade"), "Shade"))</f>
        <v>Shade</v>
      </c>
      <c r="V63" s="284" t="str">
        <f>IF(OR('Project Info'!$B$20="SQ", Price_split=100, Int_or_SV="Not applicable"), "Shade", IF(AND(Lotted?="Yes", No_Lots?&gt;=4), "", "Shade"))</f>
        <v>Shade</v>
      </c>
    </row>
    <row r="64" spans="1:22" ht="14">
      <c r="A64" s="284">
        <v>2</v>
      </c>
      <c r="B64" s="284">
        <v>4</v>
      </c>
      <c r="C64" s="284">
        <f t="array" ref="C64">IF(INDEX(TBL_003_DocMerge[PAS_or_SQ?], MATCH(1, (Job_No=TBL_003_DocMerge[Job_No])*(Doc_Lot=TBL_003_DocMerge[Lot]),0))="SQ", A64, B64)</f>
        <v>2</v>
      </c>
      <c r="D64" s="427" t="s">
        <v>399</v>
      </c>
      <c r="E64" s="428" t="str">
        <f t="array" ref="E64">IF(AND(INDEX(TBL_003_DocMerge[PAS_or_SQ?], MATCH(1, (Job_No=TBL_003_DocMerge[Job_No])*(Doc_Lot=TBL_003_DocMerge[Lot]),0))="SQ", D64="Q6.2"), "N/A", IF(OR(Lotted?="No",No_Lots?&lt;4),"N/A", IF(SQ_Same_Qs?="Yes", IF(SQ_Qs_Lot_1&gt;=$C64, INDEX(TBL_008_Qs_Lot_1[Max score], MATCH(1, (SUBSTITUTE($D64, "*", "")=TBL_008_Qs_Lot_1[Q.])*("Question"=TBL_008_Qs_Lot_1[Type]),0)), "N/A"), IF(SQ_Qs_Lot_4&gt;=$C64, INDEX(#REF!, MATCH(1, (SUBSTITUTE($D64, "*", "")=#REF!)*("Question"=#REF!),0)), "N/A"))))</f>
        <v>N/A</v>
      </c>
      <c r="F64" s="428" t="str">
        <f t="array" ref="F64">IF(OR(SQ_Weighted?="No", $E64="N/A", $E64=0),"N/A",IF(SQ_Same_Qs?="Yes", INDEX(TBL_008_Qs_Lot_1[Weighting],MATCH(1,(SUBSTITUTE($D64,"*","")=TBL_008_Qs_Lot_1[Q.])*("Question"=TBL_008_Qs_Lot_1[Type]),0)), INDEX(#REF!,MATCH(1,(SUBSTITUTE($D64,"*","")=#REF!)*("Question"=#REF!),0))))</f>
        <v>N/A</v>
      </c>
      <c r="G64" s="429" t="str">
        <f t="shared" si="6"/>
        <v>Question not used</v>
      </c>
      <c r="I64" s="424">
        <v>4</v>
      </c>
      <c r="J64" s="427" t="s">
        <v>1082</v>
      </c>
      <c r="K64" s="428" t="e">
        <f t="array" ref="K64">IF(OR(Lotted?="No", No_Lots?&lt;4), "N/A", IF(Tech_Same_Qs?="Yes", IF(Tech_Qs_Lot_1&gt;=I64, INDEX(TBL_008_Qs_Lot_1[Max score], MATCH(1, (J64=TBL_008_Qs_Lot_1[Q.])*("Question"=TBL_008_Qs_Lot_1[Type]),0)), "N/A"), IF(Tech_Qs_Lot_4&gt;=I64, INDEX(#REF!, MATCH(1, (J64=#REF!)*("Question"=#REF!),0)), "N/A")))</f>
        <v>#REF!</v>
      </c>
      <c r="L64" s="428" t="e">
        <f t="array" ref="L64">IF(OR(Tech_Weighted?="No", K64="N/A", K64=0), "N/A", IF(Tech_Same_Qs?="Yes", INDEX(TBL_008_Qs_Lot_1[Weighting], MATCH(1, (J64=TBL_008_Qs_Lot_1[Q.])*("Question"=TBL_008_Qs_Lot_1[Type]),0)), INDEX(#REF!, MATCH(1, (J64=#REF!)*("Question"=#REF!),0))))</f>
        <v>#REF!</v>
      </c>
      <c r="M64" s="429" t="e">
        <f t="shared" si="7"/>
        <v>#REF!</v>
      </c>
      <c r="O64" s="424">
        <v>4</v>
      </c>
      <c r="P64" s="427" t="s">
        <v>1092</v>
      </c>
      <c r="Q64" s="428" t="str">
        <f t="array" ref="Q64">IF(OR(Int_or_SV="Not applicable", Lotted?="No", No_Lots?&lt;4), "N/A", IF(IntSV_Same_Qs?="Yes", IF(IntSV_Qs_Lot_1&gt;=O64, INDEX(TBL_008_Qs_Lot_1[Max score], MATCH(1, (P64=TBL_008_Qs_Lot_1[Q.])*("Question"=TBL_008_Qs_Lot_1[Type]),0)), "N/A"), IF(IntSV_Qs_Lot_4&gt;=O64, INDEX(#REF!, MATCH(1, (P64=#REF!)*("Question"=#REF!),0)), "N/A")))</f>
        <v>N/A</v>
      </c>
      <c r="R64" s="428" t="str">
        <f t="array" ref="R64">IF(OR(IntSV_Weighted?="No", Q64="N/A", Q64=0), "N/A", IF(IntSV_Same_Qs?="Yes", INDEX(TBL_008_Qs_Lot_1[Weighting], MATCH(1, (P64=TBL_008_Qs_Lot_1[Q.])*("Question"=TBL_008_Qs_Lot_1[Type]),0)), INDEX(#REF!, MATCH(1, (P64=#REF!)*("Question"=#REF!),0))))</f>
        <v>N/A</v>
      </c>
      <c r="S64" s="429" t="str">
        <f>IF(R64="N/A", "Question not used", CONCATENATE("([Marks awarded for ", P64, "] / ", Q64, ".00) x ", R64, ".00"))</f>
        <v>Question not used</v>
      </c>
      <c r="T64" s="284" t="str">
        <f>IF(OR('Project Info'!$B$18="Open Procedure", 'Project Info'!$B$20="SQ"), IF(AND(Lotted?="Yes", No_Lots?&gt;=4), IF(Doc_Lot="All", IF(SQ_Same_Qs?="Yes", "Shade", ""), "Shade"), "Shade"), "Shade")</f>
        <v>Shade</v>
      </c>
      <c r="U64" s="284" t="str">
        <f>IF(OR('Project Info'!$B$20="SQ", Price_split=100), "Shade", IF(AND(Lotted?="Yes", No_Lots?&gt;=4), IF(Doc_Lot="All", IF(Tech_Same_Qs?="Yes", "Shade", ""), "Shade"), "Shade"))</f>
        <v>Shade</v>
      </c>
      <c r="V64" s="284" t="str">
        <f>IF(OR('Project Info'!$B$20="SQ", Price_split=100, Int_or_SV="Not applicable"), "Shade", IF(AND(Lotted?="Yes", No_Lots?&gt;=4), "", "Shade"))</f>
        <v>Shade</v>
      </c>
    </row>
    <row r="65" spans="1:22" ht="14">
      <c r="A65" s="284">
        <v>3</v>
      </c>
      <c r="B65" s="284">
        <v>5</v>
      </c>
      <c r="C65" s="284">
        <f t="array" ref="C65">IF(INDEX(TBL_003_DocMerge[PAS_or_SQ?], MATCH(1, (Job_No=TBL_003_DocMerge[Job_No])*(Doc_Lot=TBL_003_DocMerge[Lot]),0))="SQ", A65, B65)</f>
        <v>3</v>
      </c>
      <c r="D65" s="427" t="s">
        <v>410</v>
      </c>
      <c r="E65" s="428" t="str">
        <f t="array" ref="E65">IF(AND(INDEX(TBL_003_DocMerge[PAS_or_SQ?], MATCH(1, (Job_No=TBL_003_DocMerge[Job_No])*(Doc_Lot=TBL_003_DocMerge[Lot]),0))="SQ", D65="Q6.2"), "N/A", IF(OR(Lotted?="No",No_Lots?&lt;4),"N/A", IF(SQ_Same_Qs?="Yes", IF(SQ_Qs_Lot_1&gt;=$C65, INDEX(TBL_008_Qs_Lot_1[Max score], MATCH(1, (SUBSTITUTE($D65, "*", "")=TBL_008_Qs_Lot_1[Q.])*("Question"=TBL_008_Qs_Lot_1[Type]),0)), "N/A"), IF(SQ_Qs_Lot_4&gt;=$C65, INDEX(#REF!, MATCH(1, (SUBSTITUTE($D65, "*", "")=#REF!)*("Question"=#REF!),0)), "N/A"))))</f>
        <v>N/A</v>
      </c>
      <c r="F65" s="428" t="str">
        <f t="array" ref="F65">IF(OR(SQ_Weighted?="No", $E65="N/A", $E65=0),"N/A",IF(SQ_Same_Qs?="Yes", INDEX(TBL_008_Qs_Lot_1[Weighting],MATCH(1,(SUBSTITUTE($D65,"*","")=TBL_008_Qs_Lot_1[Q.])*("Question"=TBL_008_Qs_Lot_1[Type]),0)), INDEX(#REF!,MATCH(1,(SUBSTITUTE($D65,"*","")=#REF!)*("Question"=#REF!),0))))</f>
        <v>N/A</v>
      </c>
      <c r="G65" s="429" t="str">
        <f t="shared" si="6"/>
        <v>Question not used</v>
      </c>
      <c r="I65" s="424">
        <v>5</v>
      </c>
      <c r="J65" s="427" t="s">
        <v>1083</v>
      </c>
      <c r="K65" s="428" t="e">
        <f t="array" ref="K65">IF(OR(Lotted?="No", No_Lots?&lt;4), "N/A", IF(Tech_Same_Qs?="Yes", IF(Tech_Qs_Lot_1&gt;=I65, INDEX(TBL_008_Qs_Lot_1[Max score], MATCH(1, (J65=TBL_008_Qs_Lot_1[Q.])*("Question"=TBL_008_Qs_Lot_1[Type]),0)), "N/A"), IF(Tech_Qs_Lot_4&gt;=I65, INDEX(#REF!, MATCH(1, (J65=#REF!)*("Question"=#REF!),0)), "N/A")))</f>
        <v>#REF!</v>
      </c>
      <c r="L65" s="428" t="e">
        <f t="array" ref="L65">IF(OR(Tech_Weighted?="No", K65="N/A", K65=0), "N/A", IF(Tech_Same_Qs?="Yes", INDEX(TBL_008_Qs_Lot_1[Weighting], MATCH(1, (J65=TBL_008_Qs_Lot_1[Q.])*("Question"=TBL_008_Qs_Lot_1[Type]),0)), INDEX(#REF!, MATCH(1, (J65=#REF!)*("Question"=#REF!),0))))</f>
        <v>#REF!</v>
      </c>
      <c r="M65" s="429" t="e">
        <f t="shared" si="7"/>
        <v>#REF!</v>
      </c>
      <c r="O65" s="424">
        <v>5</v>
      </c>
      <c r="P65" s="427" t="s">
        <v>1093</v>
      </c>
      <c r="Q65" s="428" t="str">
        <f t="array" ref="Q65">IF(OR(Int_or_SV="Not applicable", Lotted?="No", No_Lots?&lt;4), "N/A", IF(IntSV_Same_Qs?="Yes", IF(IntSV_Qs_Lot_1&gt;=O65, INDEX(TBL_008_Qs_Lot_1[Max score], MATCH(1, (P65=TBL_008_Qs_Lot_1[Q.])*("Question"=TBL_008_Qs_Lot_1[Type]),0)), "N/A"), IF(IntSV_Qs_Lot_4&gt;=O65, INDEX(#REF!, MATCH(1, (P65=#REF!)*("Question"=#REF!),0)), "N/A")))</f>
        <v>N/A</v>
      </c>
      <c r="R65" s="428" t="str">
        <f t="array" ref="R65">IF(OR(IntSV_Weighted?="No", Q65="N/A", Q65=0), "N/A", IF(IntSV_Same_Qs?="Yes", INDEX(TBL_008_Qs_Lot_1[Weighting], MATCH(1, (P65=TBL_008_Qs_Lot_1[Q.])*("Question"=TBL_008_Qs_Lot_1[Type]),0)), INDEX(#REF!, MATCH(1, (P65=#REF!)*("Question"=#REF!),0))))</f>
        <v>N/A</v>
      </c>
      <c r="S65" s="429" t="str">
        <f>IF(R65="N/A", "Question not used", CONCATENATE("([Marks awarded for ", P65, "] / ", Q65, ".00) x ", R65, ".00"))</f>
        <v>Question not used</v>
      </c>
      <c r="T65" s="284" t="str">
        <f>IF(OR('Project Info'!$B$18="Open Procedure", 'Project Info'!$B$20="SQ"), IF(AND(Lotted?="Yes", No_Lots?&gt;=4), IF(Doc_Lot="All", IF(SQ_Same_Qs?="Yes", "Shade", ""), "Shade"), "Shade"), "Shade")</f>
        <v>Shade</v>
      </c>
      <c r="U65" s="284" t="str">
        <f>IF(OR('Project Info'!$B$20="SQ", Price_split=100), "Shade", IF(AND(Lotted?="Yes", No_Lots?&gt;=4), IF(Doc_Lot="All", IF(Tech_Same_Qs?="Yes", "Shade", ""), "Shade"), "Shade"))</f>
        <v>Shade</v>
      </c>
      <c r="V65" s="284" t="str">
        <f>IF(OR('Project Info'!$B$20="SQ", Price_split=100, Int_or_SV="Not applicable"), "Shade", IF(AND(Lotted?="Yes", No_Lots?&gt;=4), "", "Shade"))</f>
        <v>Shade</v>
      </c>
    </row>
    <row r="66" spans="1:22" ht="14">
      <c r="A66" s="284">
        <v>4</v>
      </c>
      <c r="B66" s="284">
        <v>6</v>
      </c>
      <c r="C66" s="284">
        <f t="array" ref="C66">IF(INDEX(TBL_003_DocMerge[PAS_or_SQ?], MATCH(1, (Job_No=TBL_003_DocMerge[Job_No])*(Doc_Lot=TBL_003_DocMerge[Lot]),0))="SQ", A66, B66)</f>
        <v>4</v>
      </c>
      <c r="D66" s="427" t="s">
        <v>421</v>
      </c>
      <c r="E66" s="428" t="str">
        <f t="array" ref="E66">IF(AND(INDEX(TBL_003_DocMerge[PAS_or_SQ?], MATCH(1, (Job_No=TBL_003_DocMerge[Job_No])*(Doc_Lot=TBL_003_DocMerge[Lot]),0))="SQ", D66="Q6.2"), "N/A", IF(OR(Lotted?="No",No_Lots?&lt;4),"N/A", IF(SQ_Same_Qs?="Yes", IF(SQ_Qs_Lot_1&gt;=$C66, INDEX(TBL_008_Qs_Lot_1[Max score], MATCH(1, (SUBSTITUTE($D66, "*", "")=TBL_008_Qs_Lot_1[Q.])*("Question"=TBL_008_Qs_Lot_1[Type]),0)), "N/A"), IF(SQ_Qs_Lot_4&gt;=$C66, INDEX(#REF!, MATCH(1, (SUBSTITUTE($D66, "*", "")=#REF!)*("Question"=#REF!),0)), "N/A"))))</f>
        <v>N/A</v>
      </c>
      <c r="F66" s="428" t="str">
        <f t="array" ref="F66">IF(OR(SQ_Weighted?="No", $E66="N/A", $E66=0),"N/A",IF(SQ_Same_Qs?="Yes", INDEX(TBL_008_Qs_Lot_1[Weighting],MATCH(1,(SUBSTITUTE($D66,"*","")=TBL_008_Qs_Lot_1[Q.])*("Question"=TBL_008_Qs_Lot_1[Type]),0)), INDEX(#REF!,MATCH(1,(SUBSTITUTE($D66,"*","")=#REF!)*("Question"=#REF!),0))))</f>
        <v>N/A</v>
      </c>
      <c r="G66" s="429" t="str">
        <f t="shared" si="6"/>
        <v>Question not used</v>
      </c>
      <c r="I66" s="424">
        <v>6</v>
      </c>
      <c r="J66" s="427" t="s">
        <v>1084</v>
      </c>
      <c r="K66" s="428" t="e">
        <f t="array" ref="K66">IF(OR(Lotted?="No", No_Lots?&lt;4), "N/A", IF(Tech_Same_Qs?="Yes", IF(Tech_Qs_Lot_1&gt;=I66, INDEX(TBL_008_Qs_Lot_1[Max score], MATCH(1, (J66=TBL_008_Qs_Lot_1[Q.])*("Question"=TBL_008_Qs_Lot_1[Type]),0)), "N/A"), IF(Tech_Qs_Lot_4&gt;=I66, INDEX(#REF!, MATCH(1, (J66=#REF!)*("Question"=#REF!),0)), "N/A")))</f>
        <v>#REF!</v>
      </c>
      <c r="L66" s="428" t="e">
        <f t="array" ref="L66">IF(OR(Tech_Weighted?="No", K66="N/A", K66=0), "N/A", IF(Tech_Same_Qs?="Yes", INDEX(TBL_008_Qs_Lot_1[Weighting], MATCH(1, (J66=TBL_008_Qs_Lot_1[Q.])*("Question"=TBL_008_Qs_Lot_1[Type]),0)), INDEX(#REF!, MATCH(1, (J66=#REF!)*("Question"=#REF!),0))))</f>
        <v>#REF!</v>
      </c>
      <c r="M66" s="429" t="e">
        <f t="shared" si="7"/>
        <v>#REF!</v>
      </c>
      <c r="P66" s="327" t="str">
        <f>IF(IntSV_Weighted?="Yes", "", "Total:")</f>
        <v>Total:</v>
      </c>
      <c r="Q66" s="431">
        <f>IF(IntSV_Weighted?="Yes", "Total:", SUM(Q61:Q65))</f>
        <v>0</v>
      </c>
      <c r="R66" s="324">
        <f>IF(OR(Int_or_SV="No", No_Lots?&lt;4), "N/A", IF(SUM(R61:R65)=IntSV_Weighting, SUM(R61:R65), "Error!"))</f>
        <v>0</v>
      </c>
      <c r="S66" s="325" t="s">
        <v>868</v>
      </c>
      <c r="T66" s="284" t="str">
        <f>IF(OR('Project Info'!$B$18="Open Procedure", 'Project Info'!$B$20="SQ"), IF(AND(Lotted?="Yes", No_Lots?&gt;=4), IF(Doc_Lot="All", IF(SQ_Same_Qs?="Yes", "Shade", ""), "Shade"), "Shade"), "Shade")</f>
        <v>Shade</v>
      </c>
      <c r="U66" s="284" t="str">
        <f>IF(OR('Project Info'!$B$20="SQ", Price_split=100), "Shade", IF(AND(Lotted?="Yes", No_Lots?&gt;=4), IF(Doc_Lot="All", IF(Tech_Same_Qs?="Yes", "Shade", ""), "Shade"), "Shade"))</f>
        <v>Shade</v>
      </c>
      <c r="V66" s="284" t="str">
        <f>IF(OR('Project Info'!$B$20="SQ", Price_split=100, Int_or_SV="Not applicable"), "Shade", IF(AND(Lotted?="Yes", No_Lots?&gt;=4), "", "Shade"))</f>
        <v>Shade</v>
      </c>
    </row>
    <row r="67" spans="1:22" ht="14">
      <c r="A67" s="284">
        <v>5</v>
      </c>
      <c r="B67" s="284">
        <v>7</v>
      </c>
      <c r="C67" s="284">
        <f t="array" ref="C67">IF(INDEX(TBL_003_DocMerge[PAS_or_SQ?], MATCH(1, (Job_No=TBL_003_DocMerge[Job_No])*(Doc_Lot=TBL_003_DocMerge[Lot]),0))="SQ", A67, B67)</f>
        <v>5</v>
      </c>
      <c r="D67" s="427" t="s">
        <v>430</v>
      </c>
      <c r="E67" s="428" t="str">
        <f t="array" ref="E67">IF(AND(INDEX(TBL_003_DocMerge[PAS_or_SQ?], MATCH(1, (Job_No=TBL_003_DocMerge[Job_No])*(Doc_Lot=TBL_003_DocMerge[Lot]),0))="SQ", D67="Q6.2"), "N/A", IF(OR(Lotted?="No",No_Lots?&lt;4),"N/A", IF(SQ_Same_Qs?="Yes", IF(SQ_Qs_Lot_1&gt;=$C67, INDEX(TBL_008_Qs_Lot_1[Max score], MATCH(1, (SUBSTITUTE($D67, "*", "")=TBL_008_Qs_Lot_1[Q.])*("Question"=TBL_008_Qs_Lot_1[Type]),0)), "N/A"), IF(SQ_Qs_Lot_4&gt;=$C67, INDEX(#REF!, MATCH(1, (SUBSTITUTE($D67, "*", "")=#REF!)*("Question"=#REF!),0)), "N/A"))))</f>
        <v>N/A</v>
      </c>
      <c r="F67" s="428" t="str">
        <f t="array" ref="F67">IF(OR(SQ_Weighted?="No", $E67="N/A", $E67=0),"N/A",IF(SQ_Same_Qs?="Yes", INDEX(TBL_008_Qs_Lot_1[Weighting],MATCH(1,(SUBSTITUTE($D67,"*","")=TBL_008_Qs_Lot_1[Q.])*("Question"=TBL_008_Qs_Lot_1[Type]),0)), INDEX(#REF!,MATCH(1,(SUBSTITUTE($D67,"*","")=#REF!)*("Question"=#REF!),0))))</f>
        <v>N/A</v>
      </c>
      <c r="G67" s="429" t="str">
        <f t="shared" si="6"/>
        <v>Question not used</v>
      </c>
      <c r="I67" s="424">
        <v>7</v>
      </c>
      <c r="J67" s="427" t="s">
        <v>1085</v>
      </c>
      <c r="K67" s="428" t="e">
        <f t="array" ref="K67">IF(OR(Lotted?="No", No_Lots?&lt;4), "N/A", IF(Tech_Same_Qs?="Yes", IF(Tech_Qs_Lot_1&gt;=I67, INDEX(TBL_008_Qs_Lot_1[Max score], MATCH(1, (J67=TBL_008_Qs_Lot_1[Q.])*("Question"=TBL_008_Qs_Lot_1[Type]),0)), "N/A"), IF(Tech_Qs_Lot_4&gt;=I67, INDEX(#REF!, MATCH(1, (J67=#REF!)*("Question"=#REF!),0)), "N/A")))</f>
        <v>#REF!</v>
      </c>
      <c r="L67" s="428" t="e">
        <f t="array" ref="L67">IF(OR(Tech_Weighted?="No", K67="N/A", K67=0), "N/A", IF(Tech_Same_Qs?="Yes", INDEX(TBL_008_Qs_Lot_1[Weighting], MATCH(1, (J67=TBL_008_Qs_Lot_1[Q.])*("Question"=TBL_008_Qs_Lot_1[Type]),0)), INDEX(#REF!, MATCH(1, (J67=#REF!)*("Question"=#REF!),0))))</f>
        <v>#REF!</v>
      </c>
      <c r="M67" s="429" t="e">
        <f t="shared" si="7"/>
        <v>#REF!</v>
      </c>
      <c r="P67" s="432"/>
      <c r="Q67" s="433"/>
      <c r="R67" s="433"/>
      <c r="S67" s="434"/>
      <c r="T67" s="284" t="str">
        <f>IF(OR('Project Info'!$B$18="Open Procedure", 'Project Info'!$B$20="SQ"), IF(AND(Lotted?="Yes", No_Lots?&gt;=4), IF(Doc_Lot="All", IF(SQ_Same_Qs?="Yes", "Shade", ""), "Shade"), "Shade"), "Shade")</f>
        <v>Shade</v>
      </c>
      <c r="U67" s="284" t="str">
        <f>IF(OR('Project Info'!$B$20="SQ", Price_split=100), "Shade", IF(AND(Lotted?="Yes", No_Lots?&gt;=4), IF(Doc_Lot="All", IF(Tech_Same_Qs?="Yes", "Shade", ""), "Shade"), "Shade"))</f>
        <v>Shade</v>
      </c>
      <c r="V67" s="284" t="str">
        <f>IF(OR('Project Info'!$B$20="SQ", Price_split=100, Int_or_SV="Not applicable"), "Shade", IF(AND(Lotted?="Yes", No_Lots?&gt;=4), "", "Shade"))</f>
        <v>Shade</v>
      </c>
    </row>
    <row r="68" spans="1:22" ht="14">
      <c r="A68" s="284">
        <v>6</v>
      </c>
      <c r="B68" s="284">
        <v>8</v>
      </c>
      <c r="C68" s="284">
        <f t="array" ref="C68">IF(INDEX(TBL_003_DocMerge[PAS_or_SQ?], MATCH(1, (Job_No=TBL_003_DocMerge[Job_No])*(Doc_Lot=TBL_003_DocMerge[Lot]),0))="SQ", A68, B68)</f>
        <v>6</v>
      </c>
      <c r="D68" s="427" t="s">
        <v>441</v>
      </c>
      <c r="E68" s="428" t="str">
        <f t="array" ref="E68">IF(AND(INDEX(TBL_003_DocMerge[PAS_or_SQ?], MATCH(1, (Job_No=TBL_003_DocMerge[Job_No])*(Doc_Lot=TBL_003_DocMerge[Lot]),0))="SQ", D68="Q6.2"), "N/A", IF(OR(Lotted?="No",No_Lots?&lt;4),"N/A", IF(SQ_Same_Qs?="Yes", IF(SQ_Qs_Lot_1&gt;=$C68, INDEX(TBL_008_Qs_Lot_1[Max score], MATCH(1, (SUBSTITUTE($D68, "*", "")=TBL_008_Qs_Lot_1[Q.])*("Question"=TBL_008_Qs_Lot_1[Type]),0)), "N/A"), IF(SQ_Qs_Lot_4&gt;=$C68, INDEX(#REF!, MATCH(1, (SUBSTITUTE($D68, "*", "")=#REF!)*("Question"=#REF!),0)), "N/A"))))</f>
        <v>N/A</v>
      </c>
      <c r="F68" s="428" t="str">
        <f t="array" ref="F68">IF(OR(SQ_Weighted?="No", $E68="N/A", $E68=0),"N/A",IF(SQ_Same_Qs?="Yes", INDEX(TBL_008_Qs_Lot_1[Weighting],MATCH(1,(SUBSTITUTE($D68,"*","")=TBL_008_Qs_Lot_1[Q.])*("Question"=TBL_008_Qs_Lot_1[Type]),0)), INDEX(#REF!,MATCH(1,(SUBSTITUTE($D68,"*","")=#REF!)*("Question"=#REF!),0))))</f>
        <v>N/A</v>
      </c>
      <c r="G68" s="429" t="str">
        <f t="shared" si="6"/>
        <v>Question not used</v>
      </c>
      <c r="I68" s="424">
        <v>8</v>
      </c>
      <c r="J68" s="427" t="s">
        <v>1086</v>
      </c>
      <c r="K68" s="428" t="e">
        <f t="array" ref="K68">IF(OR(Lotted?="No", No_Lots?&lt;4), "N/A", IF(Tech_Same_Qs?="Yes", IF(Tech_Qs_Lot_1&gt;=I68, INDEX(TBL_008_Qs_Lot_1[Max score], MATCH(1, (J68=TBL_008_Qs_Lot_1[Q.])*("Question"=TBL_008_Qs_Lot_1[Type]),0)), "N/A"), IF(Tech_Qs_Lot_4&gt;=I68, INDEX(#REF!, MATCH(1, (J68=#REF!)*("Question"=#REF!),0)), "N/A")))</f>
        <v>#REF!</v>
      </c>
      <c r="L68" s="428" t="e">
        <f t="array" ref="L68">IF(OR(Tech_Weighted?="No", K68="N/A", K68=0), "N/A", IF(Tech_Same_Qs?="Yes", INDEX(TBL_008_Qs_Lot_1[Weighting], MATCH(1, (J68=TBL_008_Qs_Lot_1[Q.])*("Question"=TBL_008_Qs_Lot_1[Type]),0)), INDEX(#REF!, MATCH(1, (J68=#REF!)*("Question"=#REF!),0))))</f>
        <v>#REF!</v>
      </c>
      <c r="M68" s="429" t="e">
        <f t="shared" si="7"/>
        <v>#REF!</v>
      </c>
      <c r="P68" s="432"/>
      <c r="Q68" s="433"/>
      <c r="R68" s="433"/>
      <c r="S68" s="434"/>
      <c r="T68" s="284" t="str">
        <f>IF(OR('Project Info'!$B$18="Open Procedure", 'Project Info'!$B$20="SQ"), IF(AND(Lotted?="Yes", No_Lots?&gt;=4), IF(Doc_Lot="All", IF(SQ_Same_Qs?="Yes", "Shade", ""), "Shade"), "Shade"), "Shade")</f>
        <v>Shade</v>
      </c>
      <c r="U68" s="284" t="str">
        <f>IF(OR('Project Info'!$B$20="SQ", Price_split=100), "Shade", IF(AND(Lotted?="Yes", No_Lots?&gt;=4), IF(Doc_Lot="All", IF(Tech_Same_Qs?="Yes", "Shade", ""), "Shade"), "Shade"))</f>
        <v>Shade</v>
      </c>
      <c r="V68" s="284" t="str">
        <f>IF(OR('Project Info'!$B$20="SQ", Price_split=100, Int_or_SV="Not applicable"), "Shade", IF(AND(Lotted?="Yes", No_Lots?&gt;=4), "", "Shade"))</f>
        <v>Shade</v>
      </c>
    </row>
    <row r="69" spans="1:22" ht="14">
      <c r="A69" s="284">
        <v>7</v>
      </c>
      <c r="B69" s="284">
        <v>9</v>
      </c>
      <c r="C69" s="284">
        <f t="array" ref="C69">IF(INDEX(TBL_003_DocMerge[PAS_or_SQ?], MATCH(1, (Job_No=TBL_003_DocMerge[Job_No])*(Doc_Lot=TBL_003_DocMerge[Lot]),0))="SQ", A69, B69)</f>
        <v>7</v>
      </c>
      <c r="D69" s="427" t="s">
        <v>697</v>
      </c>
      <c r="E69" s="428" t="str">
        <f t="array" ref="E69">IF(AND(INDEX(TBL_003_DocMerge[PAS_or_SQ?], MATCH(1, (Job_No=TBL_003_DocMerge[Job_No])*(Doc_Lot=TBL_003_DocMerge[Lot]),0))="SQ", D69="Q6.2"), "N/A", IF(OR(Lotted?="No",No_Lots?&lt;4),"N/A", IF(SQ_Same_Qs?="Yes", IF(SQ_Qs_Lot_1&gt;=$C69, INDEX(TBL_008_Qs_Lot_1[Max score], MATCH(1, (SUBSTITUTE($D69, "*", "")=TBL_008_Qs_Lot_1[Q.])*("Question"=TBL_008_Qs_Lot_1[Type]),0)), "N/A"), IF(SQ_Qs_Lot_4&gt;=$C69, INDEX(#REF!, MATCH(1, (SUBSTITUTE($D69, "*", "")=#REF!)*("Question"=#REF!),0)), "N/A"))))</f>
        <v>N/A</v>
      </c>
      <c r="F69" s="428" t="str">
        <f t="array" ref="F69">IF(OR(SQ_Weighted?="No", $E69="N/A", $E69=0),"N/A",IF(SQ_Same_Qs?="Yes", INDEX(TBL_008_Qs_Lot_1[Weighting],MATCH(1,(SUBSTITUTE($D69,"*","")=TBL_008_Qs_Lot_1[Q.])*("Question"=TBL_008_Qs_Lot_1[Type]),0)), INDEX(#REF!,MATCH(1,(SUBSTITUTE($D69,"*","")=#REF!)*("Question"=#REF!),0))))</f>
        <v>N/A</v>
      </c>
      <c r="G69" s="429" t="str">
        <f t="shared" si="6"/>
        <v>Question not used</v>
      </c>
      <c r="I69" s="424">
        <v>9</v>
      </c>
      <c r="J69" s="427" t="s">
        <v>1087</v>
      </c>
      <c r="K69" s="428" t="e">
        <f t="array" ref="K69">IF(OR(Lotted?="No", No_Lots?&lt;4), "N/A", IF(Tech_Same_Qs?="Yes", IF(Tech_Qs_Lot_1&gt;=I69, INDEX(TBL_008_Qs_Lot_1[Max score], MATCH(1, (J69=TBL_008_Qs_Lot_1[Q.])*("Question"=TBL_008_Qs_Lot_1[Type]),0)), "N/A"), IF(Tech_Qs_Lot_4&gt;=I69, INDEX(#REF!, MATCH(1, (J69=#REF!)*("Question"=#REF!),0)), "N/A")))</f>
        <v>#REF!</v>
      </c>
      <c r="L69" s="428" t="e">
        <f t="array" ref="L69">IF(OR(Tech_Weighted?="No", K69="N/A", K69=0), "N/A", IF(Tech_Same_Qs?="Yes", INDEX(TBL_008_Qs_Lot_1[Weighting], MATCH(1, (J69=TBL_008_Qs_Lot_1[Q.])*("Question"=TBL_008_Qs_Lot_1[Type]),0)), INDEX(#REF!, MATCH(1, (J69=#REF!)*("Question"=#REF!),0))))</f>
        <v>#REF!</v>
      </c>
      <c r="M69" s="429" t="e">
        <f t="shared" si="7"/>
        <v>#REF!</v>
      </c>
      <c r="P69" s="432"/>
      <c r="Q69" s="433"/>
      <c r="R69" s="433"/>
      <c r="S69" s="434"/>
      <c r="T69" s="284" t="str">
        <f>IF(OR('Project Info'!$B$18="Open Procedure", 'Project Info'!$B$20="SQ"), IF(AND(Lotted?="Yes", No_Lots?&gt;=4), IF(Doc_Lot="All", IF(SQ_Same_Qs?="Yes", "Shade", ""), "Shade"), "Shade"), "Shade")</f>
        <v>Shade</v>
      </c>
      <c r="U69" s="284" t="str">
        <f>IF(OR('Project Info'!$B$20="SQ", Price_split=100), "Shade", IF(AND(Lotted?="Yes", No_Lots?&gt;=4), IF(Doc_Lot="All", IF(Tech_Same_Qs?="Yes", "Shade", ""), "Shade"), "Shade"))</f>
        <v>Shade</v>
      </c>
      <c r="V69" s="284" t="str">
        <f>IF(OR('Project Info'!$B$20="SQ", Price_split=100, Int_or_SV="Not applicable"), "Shade", IF(AND(Lotted?="Yes", No_Lots?&gt;=4), "", "Shade"))</f>
        <v>Shade</v>
      </c>
    </row>
    <row r="70" spans="1:22" ht="14">
      <c r="A70" s="284">
        <v>8</v>
      </c>
      <c r="B70" s="284">
        <v>10</v>
      </c>
      <c r="C70" s="284">
        <f t="array" ref="C70">IF(INDEX(TBL_003_DocMerge[PAS_or_SQ?], MATCH(1, (Job_No=TBL_003_DocMerge[Job_No])*(Doc_Lot=TBL_003_DocMerge[Lot]),0))="SQ", A70, B70)</f>
        <v>8</v>
      </c>
      <c r="D70" s="427" t="s">
        <v>708</v>
      </c>
      <c r="E70" s="428" t="str">
        <f t="array" ref="E70">IF(AND(INDEX(TBL_003_DocMerge[PAS_or_SQ?], MATCH(1, (Job_No=TBL_003_DocMerge[Job_No])*(Doc_Lot=TBL_003_DocMerge[Lot]),0))="SQ", D70="Q6.2"), "N/A", IF(OR(Lotted?="No",No_Lots?&lt;4),"N/A", IF(SQ_Same_Qs?="Yes", IF(SQ_Qs_Lot_1&gt;=$C70, INDEX(TBL_008_Qs_Lot_1[Max score], MATCH(1, (SUBSTITUTE($D70, "*", "")=TBL_008_Qs_Lot_1[Q.])*("Question"=TBL_008_Qs_Lot_1[Type]),0)), "N/A"), IF(SQ_Qs_Lot_4&gt;=$C70, INDEX(#REF!, MATCH(1, (SUBSTITUTE($D70, "*", "")=#REF!)*("Question"=#REF!),0)), "N/A"))))</f>
        <v>N/A</v>
      </c>
      <c r="F70" s="428" t="str">
        <f t="array" ref="F70">IF(OR(SQ_Weighted?="No", $E70="N/A", $E70=0),"N/A",IF(SQ_Same_Qs?="Yes", INDEX(TBL_008_Qs_Lot_1[Weighting],MATCH(1,(SUBSTITUTE($D70,"*","")=TBL_008_Qs_Lot_1[Q.])*("Question"=TBL_008_Qs_Lot_1[Type]),0)), INDEX(#REF!,MATCH(1,(SUBSTITUTE($D70,"*","")=#REF!)*("Question"=#REF!),0))))</f>
        <v>N/A</v>
      </c>
      <c r="G70" s="429" t="str">
        <f t="shared" si="6"/>
        <v>Question not used</v>
      </c>
      <c r="I70" s="424">
        <v>10</v>
      </c>
      <c r="J70" s="427" t="s">
        <v>1088</v>
      </c>
      <c r="K70" s="428" t="e">
        <f t="array" ref="K70">IF(OR(Lotted?="No", No_Lots?&lt;4), "N/A", IF(Tech_Same_Qs?="Yes", IF(Tech_Qs_Lot_1&gt;=I70, INDEX(TBL_008_Qs_Lot_1[Max score], MATCH(1, (J70=TBL_008_Qs_Lot_1[Q.])*("Question"=TBL_008_Qs_Lot_1[Type]),0)), "N/A"), IF(Tech_Qs_Lot_4&gt;=I70, INDEX(#REF!, MATCH(1, (J70=#REF!)*("Question"=#REF!),0)), "N/A")))</f>
        <v>#REF!</v>
      </c>
      <c r="L70" s="428" t="e">
        <f t="array" ref="L70">IF(OR(Tech_Weighted?="No", K70="N/A", K70=0), "N/A", IF(Tech_Same_Qs?="Yes", INDEX(TBL_008_Qs_Lot_1[Weighting], MATCH(1, (J70=TBL_008_Qs_Lot_1[Q.])*("Question"=TBL_008_Qs_Lot_1[Type]),0)), INDEX(#REF!, MATCH(1, (J70=#REF!)*("Question"=#REF!),0))))</f>
        <v>#REF!</v>
      </c>
      <c r="M70" s="429" t="e">
        <f t="shared" si="7"/>
        <v>#REF!</v>
      </c>
      <c r="P70" s="432"/>
      <c r="Q70" s="433"/>
      <c r="R70" s="433"/>
      <c r="S70" s="434"/>
      <c r="T70" s="284" t="str">
        <f>IF(OR('Project Info'!$B$18="Open Procedure", 'Project Info'!$B$20="SQ"), IF(AND(Lotted?="Yes", No_Lots?&gt;=4), IF(Doc_Lot="All", IF(SQ_Same_Qs?="Yes", "Shade", ""), "Shade"), "Shade"), "Shade")</f>
        <v>Shade</v>
      </c>
      <c r="U70" s="284" t="str">
        <f>IF(OR('Project Info'!$B$20="SQ", Price_split=100), "Shade", IF(AND(Lotted?="Yes", No_Lots?&gt;=4), IF(Doc_Lot="All", IF(Tech_Same_Qs?="Yes", "Shade", ""), "Shade"), "Shade"))</f>
        <v>Shade</v>
      </c>
      <c r="V70" s="284" t="str">
        <f>IF(OR('Project Info'!$B$20="SQ", Price_split=100, Int_or_SV="Not applicable"), "Shade", IF(AND(Lotted?="Yes", No_Lots?&gt;=4), "", "Shade"))</f>
        <v>Shade</v>
      </c>
    </row>
    <row r="71" spans="1:22" ht="14">
      <c r="A71" s="284">
        <v>9</v>
      </c>
      <c r="B71" s="284">
        <v>11</v>
      </c>
      <c r="C71" s="284">
        <f t="array" ref="C71">IF(INDEX(TBL_003_DocMerge[PAS_or_SQ?], MATCH(1, (Job_No=TBL_003_DocMerge[Job_No])*(Doc_Lot=TBL_003_DocMerge[Lot]),0))="SQ", A71, B71)</f>
        <v>9</v>
      </c>
      <c r="D71" s="427" t="s">
        <v>719</v>
      </c>
      <c r="E71" s="428" t="str">
        <f t="array" ref="E71">IF(AND(INDEX(TBL_003_DocMerge[PAS_or_SQ?], MATCH(1, (Job_No=TBL_003_DocMerge[Job_No])*(Doc_Lot=TBL_003_DocMerge[Lot]),0))="SQ", D71="Q6.2"), "N/A", IF(OR(Lotted?="No",No_Lots?&lt;4),"N/A", IF(SQ_Same_Qs?="Yes", IF(SQ_Qs_Lot_1&gt;=$C71, INDEX(TBL_008_Qs_Lot_1[Max score], MATCH(1, (SUBSTITUTE($D71, "*", "")=TBL_008_Qs_Lot_1[Q.])*("Question"=TBL_008_Qs_Lot_1[Type]),0)), "N/A"), IF(SQ_Qs_Lot_4&gt;=$C71, INDEX(#REF!, MATCH(1, (SUBSTITUTE($D71, "*", "")=#REF!)*("Question"=#REF!),0)), "N/A"))))</f>
        <v>N/A</v>
      </c>
      <c r="F71" s="428" t="str">
        <f t="array" ref="F71">IF(OR(SQ_Weighted?="No", $E71="N/A", $E71=0),"N/A",IF(SQ_Same_Qs?="Yes", INDEX(TBL_008_Qs_Lot_1[Weighting],MATCH(1,(SUBSTITUTE($D71,"*","")=TBL_008_Qs_Lot_1[Q.])*("Question"=TBL_008_Qs_Lot_1[Type]),0)), INDEX(#REF!,MATCH(1,(SUBSTITUTE($D71,"*","")=#REF!)*("Question"=#REF!),0))))</f>
        <v>N/A</v>
      </c>
      <c r="G71" s="429" t="str">
        <f t="shared" si="6"/>
        <v>Question not used</v>
      </c>
      <c r="J71" s="327" t="str">
        <f>IF(Tech_Weighted?="Yes", "", "Total:")</f>
        <v>Total:</v>
      </c>
      <c r="K71" s="431" t="e">
        <f>IF(Tech_Weighted?="Yes", "Total:", SUM(K61:K70))</f>
        <v>#REF!</v>
      </c>
      <c r="L71" s="324" t="e">
        <f>IF(No_Lots?&gt;=2, IF(SUM(L61:L70)=Tech_Weighting, SUM(L61:L70), "Error!"), "N/A")</f>
        <v>#REF!</v>
      </c>
      <c r="M71" s="325" t="s">
        <v>868</v>
      </c>
      <c r="Q71" s="424"/>
      <c r="R71" s="424"/>
      <c r="S71" s="424"/>
      <c r="T71" s="284" t="str">
        <f>IF(OR('Project Info'!$B$18="Open Procedure", 'Project Info'!$B$20="SQ"), IF(AND(Lotted?="Yes", No_Lots?&gt;=4), IF(Doc_Lot="All", IF(SQ_Same_Qs?="Yes", "Shade", ""), "Shade"), "Shade"), "Shade")</f>
        <v>Shade</v>
      </c>
      <c r="U71" s="284" t="str">
        <f>IF(OR('Project Info'!$B$20="SQ", Price_split=100), "Shade", IF(AND(Lotted?="Yes", No_Lots?&gt;=4), IF(Doc_Lot="All", IF(Tech_Same_Qs?="Yes", "Shade", ""), "Shade"), "Shade"))</f>
        <v>Shade</v>
      </c>
      <c r="V71" s="284" t="str">
        <f>IF(OR('Project Info'!$B$20="SQ", Price_split=100, Int_or_SV="Not applicable"), "Shade", IF(AND(Lotted?="Yes", No_Lots?&gt;=4), "", "Shade"))</f>
        <v>Shade</v>
      </c>
    </row>
    <row r="72" spans="1:22" ht="14">
      <c r="A72" s="284">
        <v>10</v>
      </c>
      <c r="B72" s="284">
        <v>12</v>
      </c>
      <c r="C72" s="284">
        <f t="array" ref="C72">IF(INDEX(TBL_003_DocMerge[PAS_or_SQ?], MATCH(1, (Job_No=TBL_003_DocMerge[Job_No])*(Doc_Lot=TBL_003_DocMerge[Lot]),0))="SQ", A72, B72)</f>
        <v>10</v>
      </c>
      <c r="D72" s="427" t="s">
        <v>730</v>
      </c>
      <c r="E72" s="428" t="str">
        <f t="array" ref="E72">IF(AND(INDEX(TBL_003_DocMerge[PAS_or_SQ?], MATCH(1, (Job_No=TBL_003_DocMerge[Job_No])*(Doc_Lot=TBL_003_DocMerge[Lot]),0))="SQ", D72="Q6.2"), "N/A", IF(OR(Lotted?="No",No_Lots?&lt;4),"N/A", IF(SQ_Same_Qs?="Yes", IF(SQ_Qs_Lot_1&gt;=$C72, INDEX(TBL_008_Qs_Lot_1[Max score], MATCH(1, (SUBSTITUTE($D72, "*", "")=TBL_008_Qs_Lot_1[Q.])*("Question"=TBL_008_Qs_Lot_1[Type]),0)), "N/A"), IF(SQ_Qs_Lot_4&gt;=$C72, INDEX(#REF!, MATCH(1, (SUBSTITUTE($D72, "*", "")=#REF!)*("Question"=#REF!),0)), "N/A"))))</f>
        <v>N/A</v>
      </c>
      <c r="F72" s="428" t="str">
        <f t="array" ref="F72">IF(OR(SQ_Weighted?="No", $E72="N/A", $E72=0),"N/A",IF(SQ_Same_Qs?="Yes", INDEX(TBL_008_Qs_Lot_1[Weighting],MATCH(1,(SUBSTITUTE($D72,"*","")=TBL_008_Qs_Lot_1[Q.])*("Question"=TBL_008_Qs_Lot_1[Type]),0)), INDEX(#REF!,MATCH(1,(SUBSTITUTE($D72,"*","")=#REF!)*("Question"=#REF!),0))))</f>
        <v>N/A</v>
      </c>
      <c r="G72" s="429" t="str">
        <f t="shared" si="6"/>
        <v>Question not used</v>
      </c>
      <c r="T72" s="284" t="str">
        <f>IF(OR('Project Info'!$B$18="Open Procedure", 'Project Info'!$B$20="SQ"), IF(AND(Lotted?="Yes", No_Lots?&gt;=4), IF(Doc_Lot="All", IF(SQ_Same_Qs?="Yes", "Shade", ""), "Shade"), "Shade"), "Shade")</f>
        <v>Shade</v>
      </c>
      <c r="U72" s="284" t="str">
        <f>IF(OR('Project Info'!$B$20="SQ", Price_split=100), "Shade", IF(AND(Lotted?="Yes", No_Lots?&gt;=4), IF(Doc_Lot="All", IF(Tech_Same_Qs?="Yes", "Shade", ""), "Shade"), "Shade"))</f>
        <v>Shade</v>
      </c>
      <c r="V72" s="284" t="str">
        <f>IF(OR('Project Info'!$B$20="SQ", Price_split=100, Int_or_SV="Not applicable"), "Shade", IF(AND(Lotted?="Yes", No_Lots?&gt;=4), "", "Shade"))</f>
        <v>Shade</v>
      </c>
    </row>
    <row r="73" spans="1:22" ht="14">
      <c r="A73" s="284">
        <v>11</v>
      </c>
      <c r="B73" s="284">
        <v>13</v>
      </c>
      <c r="C73" s="284">
        <f t="array" ref="C73">IF(INDEX(TBL_003_DocMerge[PAS_or_SQ?], MATCH(1, (Job_No=TBL_003_DocMerge[Job_No])*(Doc_Lot=TBL_003_DocMerge[Lot]),0))="SQ", A73, B73)</f>
        <v>11</v>
      </c>
      <c r="D73" s="427" t="s">
        <v>741</v>
      </c>
      <c r="E73" s="428" t="str">
        <f t="array" ref="E73">IF(AND(INDEX(TBL_003_DocMerge[PAS_or_SQ?], MATCH(1, (Job_No=TBL_003_DocMerge[Job_No])*(Doc_Lot=TBL_003_DocMerge[Lot]),0))="SQ", D73="Q6.2"), "N/A", IF(OR(Lotted?="No",No_Lots?&lt;4),"N/A", IF(SQ_Same_Qs?="Yes", IF(SQ_Qs_Lot_1&gt;=$C73, INDEX(TBL_008_Qs_Lot_1[Max score], MATCH(1, (SUBSTITUTE($D73, "*", "")=TBL_008_Qs_Lot_1[Q.])*("Question"=TBL_008_Qs_Lot_1[Type]),0)), "N/A"), IF(SQ_Qs_Lot_4&gt;=$C73, INDEX(#REF!, MATCH(1, (SUBSTITUTE($D73, "*", "")=#REF!)*("Question"=#REF!),0)), "N/A"))))</f>
        <v>N/A</v>
      </c>
      <c r="F73" s="428" t="str">
        <f t="array" ref="F73">IF(OR(SQ_Weighted?="No", $E73="N/A", $E73=0),"N/A",IF(SQ_Same_Qs?="Yes", INDEX(TBL_008_Qs_Lot_1[Weighting],MATCH(1,(SUBSTITUTE($D73,"*","")=TBL_008_Qs_Lot_1[Q.])*("Question"=TBL_008_Qs_Lot_1[Type]),0)), INDEX(#REF!,MATCH(1,(SUBSTITUTE($D73,"*","")=#REF!)*("Question"=#REF!),0))))</f>
        <v>N/A</v>
      </c>
      <c r="G73" s="429" t="str">
        <f t="shared" si="6"/>
        <v>Question not used</v>
      </c>
      <c r="T73" s="284" t="str">
        <f>IF(OR('Project Info'!$B$18="Open Procedure", 'Project Info'!$B$20="SQ"), IF(AND(Lotted?="Yes", No_Lots?&gt;=4), IF(Doc_Lot="All", IF(SQ_Same_Qs?="Yes", "Shade", ""), "Shade"), "Shade"), "Shade")</f>
        <v>Shade</v>
      </c>
      <c r="U73" s="284" t="str">
        <f>IF(OR('Project Info'!$B$20="SQ", Price_split=100), "Shade", IF(AND(Lotted?="Yes", No_Lots?&gt;=4), IF(Doc_Lot="All", IF(Tech_Same_Qs?="Yes", "Shade", ""), "Shade"), "Shade"))</f>
        <v>Shade</v>
      </c>
      <c r="V73" s="284" t="str">
        <f>IF(OR('Project Info'!$B$20="SQ", Price_split=100, Int_or_SV="Not applicable"), "Shade", IF(AND(Lotted?="Yes", No_Lots?&gt;=4), "", "Shade"))</f>
        <v>Shade</v>
      </c>
    </row>
    <row r="74" spans="1:22" ht="14">
      <c r="D74" s="327" t="str">
        <f>IF(SQ_Weighted?="Yes", "", "Total:")</f>
        <v>Total:</v>
      </c>
      <c r="E74" s="431">
        <f>IF(SQ_Weighted?="Yes", "Total:", SUM(E61:E73))</f>
        <v>20</v>
      </c>
      <c r="F74" s="324" t="str">
        <f>IF(SQ_Weighted?="Yes", IF(OR(Lotted?="No",No_Lots?&lt;4),"N/A", IF((SUM(F61:F73)-F63)=100, 100, "Error!")),"N/A")</f>
        <v>N/A</v>
      </c>
      <c r="G74" s="325" t="s">
        <v>868</v>
      </c>
      <c r="T74" s="284" t="str">
        <f>IF(OR('Project Info'!$B$18="Open Procedure", 'Project Info'!$B$20="SQ"), IF(AND(Lotted?="Yes", No_Lots?&gt;=4), IF(Doc_Lot="All", IF(SQ_Same_Qs?="Yes", "Shade", ""), "Shade"), "Shade"), "Shade")</f>
        <v>Shade</v>
      </c>
      <c r="U74" s="284" t="str">
        <f>IF(OR('Project Info'!$B$20="SQ", Price_split=100), "Shade", IF(AND(Lotted?="Yes", No_Lots?&gt;=4), IF(Doc_Lot="All", IF(Tech_Same_Qs?="Yes", "Shade", ""), "Shade"), "Shade"))</f>
        <v>Shade</v>
      </c>
      <c r="V74" s="284" t="str">
        <f>IF(OR('Project Info'!$B$20="SQ", Price_split=100, Int_or_SV="Not applicable"), "Shade", IF(AND(Lotted?="Yes", No_Lots?&gt;=4), "", "Shade"))</f>
        <v>Shade</v>
      </c>
    </row>
    <row r="75" spans="1:22">
      <c r="E75" s="425"/>
      <c r="F75" s="425"/>
      <c r="G75" s="426"/>
    </row>
    <row r="76" spans="1:22">
      <c r="E76" s="425"/>
      <c r="F76" s="425"/>
      <c r="G76" s="426"/>
    </row>
    <row r="77" spans="1:22" ht="14">
      <c r="D77" s="330" t="str">
        <f>IF(AND(Lotted?="Yes", No_Lots?&gt;=5), "Lot 5:", "")</f>
        <v>Lot 5:</v>
      </c>
      <c r="E77" s="329" t="e">
        <f>IF(AND(Lotted?="Yes", No_Lots?&gt;=5), TBL_003_DocMerge[Lot_5_Name], "Ignore this table")</f>
        <v>#VALUE!</v>
      </c>
      <c r="F77" s="320"/>
      <c r="G77" s="319"/>
      <c r="J77" s="330" t="str">
        <f>IF(AND(Lotted?="Yes", No_Lots?&gt;=5), "Lot 5:", "")</f>
        <v>Lot 5:</v>
      </c>
      <c r="K77" s="329" t="e">
        <f>IF(AND(Lotted?="Yes", No_Lots?&gt;=5), TBL_003_DocMerge[Lot_5_Name], "Ignore this table")</f>
        <v>#VALUE!</v>
      </c>
      <c r="L77" s="320"/>
      <c r="M77" s="319"/>
      <c r="P77" s="330" t="str">
        <f>IF(AND(Lotted?="Yes", No_Lots?&gt;=5), "Lot 5:", "")</f>
        <v>Lot 5:</v>
      </c>
      <c r="Q77" s="329" t="e">
        <f>IF(AND(Lotted?="Yes", No_Lots?&gt;=5), TBL_003_DocMerge[Lot_5_Name], "Ignore this table")</f>
        <v>#VALUE!</v>
      </c>
      <c r="R77" s="320"/>
      <c r="S77" s="319"/>
      <c r="T77" s="284" t="str">
        <f>IF(OR('Project Info'!$B$18="Open Procedure", 'Project Info'!$B$20="SQ"), IF(AND(Lotted?="Yes", No_Lots?&gt;=5), IF(Doc_Lot="All", IF(SQ_Same_Qs?="Yes", "Shade", ""), "Shade"), "Shade"), "Shade")</f>
        <v>Shade</v>
      </c>
      <c r="U77" s="284" t="str">
        <f>IF(OR('Project Info'!$B$20="SQ", Price_split=100), "Shade", IF(AND(Lotted?="Yes", No_Lots?&gt;=5), IF(Doc_Lot="All", IF(Tech_Same_Qs?="Yes", "Shade", ""), "Shade"), "Shade"))</f>
        <v>Shade</v>
      </c>
      <c r="V77" s="284" t="str">
        <f>IF(OR('Project Info'!$B$20="SQ", Price_split=100, Int_or_SV="Not applicable"), "Shade", IF(AND(Lotted?="Yes", No_Lots?&gt;=5), "", "Shade"))</f>
        <v>Shade</v>
      </c>
    </row>
    <row r="78" spans="1:22" ht="28">
      <c r="A78" s="354" t="s">
        <v>928</v>
      </c>
      <c r="B78" s="354" t="s">
        <v>1135</v>
      </c>
      <c r="C78" s="354" t="s">
        <v>1134</v>
      </c>
      <c r="D78" s="321" t="s">
        <v>864</v>
      </c>
      <c r="E78" s="322" t="s">
        <v>865</v>
      </c>
      <c r="F78" s="322" t="s">
        <v>862</v>
      </c>
      <c r="G78" s="323" t="s">
        <v>866</v>
      </c>
      <c r="J78" s="321" t="s">
        <v>864</v>
      </c>
      <c r="K78" s="322" t="s">
        <v>865</v>
      </c>
      <c r="L78" s="322" t="s">
        <v>862</v>
      </c>
      <c r="M78" s="323" t="s">
        <v>866</v>
      </c>
      <c r="P78" s="321" t="s">
        <v>864</v>
      </c>
      <c r="Q78" s="322" t="s">
        <v>865</v>
      </c>
      <c r="R78" s="322" t="s">
        <v>862</v>
      </c>
      <c r="S78" s="323" t="s">
        <v>866</v>
      </c>
      <c r="T78" s="284" t="str">
        <f>IF(OR('Project Info'!$B$18="Open Procedure", 'Project Info'!$B$20="SQ"), IF(AND(Lotted?="Yes", No_Lots?&gt;=5), IF(Doc_Lot="All", IF(SQ_Same_Qs?="Yes", "Shade", ""), "Shade"), "Shade"), "Shade")</f>
        <v>Shade</v>
      </c>
      <c r="U78" s="284" t="str">
        <f>IF(OR('Project Info'!$B$20="SQ", Price_split=100), "Shade", IF(AND(Lotted?="Yes", No_Lots?&gt;=5), IF(Doc_Lot="All", IF(Tech_Same_Qs?="Yes", "Shade", ""), "Shade"), "Shade"))</f>
        <v>Shade</v>
      </c>
      <c r="V78" s="284" t="str">
        <f>IF(OR('Project Info'!$B$20="SQ", Price_split=100, Int_or_SV="Not applicable"), "Shade", IF(AND(Lotted?="Yes", No_Lots?&gt;=5), "", "Shade"))</f>
        <v>Shade</v>
      </c>
    </row>
    <row r="79" spans="1:22" ht="14">
      <c r="A79" s="284">
        <v>1</v>
      </c>
      <c r="B79" s="284">
        <v>1</v>
      </c>
      <c r="C79" s="284">
        <f t="array" ref="C79">IF(INDEX(TBL_003_DocMerge[PAS_or_SQ?], MATCH(1, (Job_No=TBL_003_DocMerge[Job_No])*(Doc_Lot=TBL_003_DocMerge[Lot]),0))="SQ", A79, B79)</f>
        <v>1</v>
      </c>
      <c r="D79" s="427" t="s">
        <v>649</v>
      </c>
      <c r="E79" s="428">
        <f t="array" ref="E79">IF(AND(INDEX(TBL_003_DocMerge[PAS_or_SQ?], MATCH(1, (Job_No=TBL_003_DocMerge[Job_No])*(Doc_Lot=TBL_003_DocMerge[Lot]),0))="SQ", D79="Q6.2"), "N/A", IF(OR(Lotted?="No", No_Lots?&lt;5),"N/A", IF(SQ_Same_Qs?="Yes", IF(SQ_Qs_Lot_1&gt;=$C79, INDEX(TBL_008_Qs_Lot_1[Max score], MATCH(1, (SUBSTITUTE($D79, "*", "")=TBL_008_Qs_Lot_1[Q.])*("Question"=TBL_008_Qs_Lot_1[Type]),0)), "N/A"), IF(SQ_Qs_Lot_5&gt;=$C79, INDEX(#REF!, MATCH(1, (SUBSTITUTE($D79, "*", "")=#REF!)*("Question"=#REF!),0)), "N/A"))))</f>
        <v>15</v>
      </c>
      <c r="F79" s="428" t="str">
        <f t="array" ref="F79">IF(OR(SQ_Weighted?="No", $E79="N/A", $E79=0),"N/A",IF(SQ_Same_Qs?="Yes", INDEX(TBL_008_Qs_Lot_1[Weighting],MATCH(1,(SUBSTITUTE($D79,"*","")=TBL_008_Qs_Lot_1[Q.])*("Question"=TBL_008_Qs_Lot_1[Type]),0)), INDEX(#REF!,MATCH(1,(SUBSTITUTE($D79,"*","")=#REF!)*("Question"=#REF!),0))))</f>
        <v>N/A</v>
      </c>
      <c r="G79" s="429" t="str">
        <f t="shared" ref="G79:G91" si="8">IF(F79="N/A", "Question not used", CONCATENATE("([Marks awarded for ", SUBSTITUTE(D79, "*", ""), "] / ", E79, ".00) x ", F79, ".00"))</f>
        <v>Question not used</v>
      </c>
      <c r="I79" s="424">
        <v>1</v>
      </c>
      <c r="J79" s="427" t="s">
        <v>1079</v>
      </c>
      <c r="K79" s="428" t="e">
        <f t="array" ref="K79">IF(OR(Lotted?="No", No_Lots?&lt;5), "N/A", IF(Tech_Same_Qs?="Yes", IF(Tech_Qs_Lot_1&gt;=I79, INDEX(TBL_008_Qs_Lot_1[Max score], MATCH(1, (J79=TBL_008_Qs_Lot_1[Q.])*("Question"=TBL_008_Qs_Lot_1[Type]),0)), "N/A"), IF(Tech_Qs_Lot_5&gt;=I79, INDEX(#REF!, MATCH(1, (J79=#REF!)*("Question"=#REF!),0)), "N/A")))</f>
        <v>#REF!</v>
      </c>
      <c r="L79" s="428" t="e">
        <f t="array" ref="L79">IF(OR(Tech_Weighted?="No", K79="N/A", K79=0), "N/A", IF(Tech_Same_Qs?="Yes", INDEX(TBL_008_Qs_Lot_1[Weighting], MATCH(1, (J79=TBL_008_Qs_Lot_1[Q.])*("Question"=TBL_008_Qs_Lot_1[Type]),0)), INDEX(#REF!, MATCH(1, (J79=#REF!)*("Question"=#REF!),0))))</f>
        <v>#REF!</v>
      </c>
      <c r="M79" s="429" t="e">
        <f t="shared" ref="M79:M88" si="9">IF(L79="N/A", "Question not used", CONCATENATE("([Marks awarded for ", J79, "] / ", K79, ".00) x ", L79, ".00"))</f>
        <v>#REF!</v>
      </c>
      <c r="O79" s="424">
        <v>1</v>
      </c>
      <c r="P79" s="427" t="s">
        <v>1089</v>
      </c>
      <c r="Q79" s="428" t="str">
        <f t="array" ref="Q79">IF(OR(Int_or_SV="Not applicable", Lotted?="No", No_Lots?&lt;5), "N/A", IF(IntSV_Same_Qs?="Yes", IF(IntSV_Qs_Lot_1&gt;=O79, INDEX(TBL_008_Qs_Lot_1[Max score], MATCH(1, (P79=TBL_008_Qs_Lot_1[Q.])*("Question"=TBL_008_Qs_Lot_1[Type]),0)), "N/A"), IF(IntSV_Qs_Lot_5&gt;=O79, INDEX(#REF!, MATCH(1, (P79=#REF!)*("Question"=#REF!),0)), "N/A")))</f>
        <v>N/A</v>
      </c>
      <c r="R79" s="428" t="str">
        <f t="array" ref="R79">IF(OR(IntSV_Weighted?="No", Q79="N/A", Q79=0), "N/A", IF(IntSV_Same_Qs?="Yes", INDEX(TBL_008_Qs_Lot_1[Weighting], MATCH(1, (P79=TBL_008_Qs_Lot_1[Q.])*("Question"=TBL_008_Qs_Lot_1[Type]),0)), INDEX(#REF!, MATCH(1, (P79=#REF!)*("Question"=#REF!),0))))</f>
        <v>N/A</v>
      </c>
      <c r="S79" s="429" t="str">
        <f>IF(R79="N/A", "Question not used", CONCATENATE("([Marks awarded for ", P79, "] / ", Q79, ".00) x ", R79, ".00"))</f>
        <v>Question not used</v>
      </c>
      <c r="T79" s="284" t="str">
        <f>IF(OR('Project Info'!$B$18="Open Procedure", 'Project Info'!$B$20="SQ"), IF(AND(Lotted?="Yes", No_Lots?&gt;=5), IF(Doc_Lot="All", IF(SQ_Same_Qs?="Yes", "Shade", ""), "Shade"), "Shade"), "Shade")</f>
        <v>Shade</v>
      </c>
      <c r="U79" s="284" t="str">
        <f>IF(OR('Project Info'!$B$20="SQ", Price_split=100), "Shade", IF(AND(Lotted?="Yes", No_Lots?&gt;=5), IF(Doc_Lot="All", IF(Tech_Same_Qs?="Yes", "Shade", ""), "Shade"), "Shade"))</f>
        <v>Shade</v>
      </c>
      <c r="V79" s="284" t="str">
        <f>IF(OR('Project Info'!$B$20="SQ", Price_split=100, Int_or_SV="Not applicable"), "Shade", IF(AND(Lotted?="Yes", No_Lots?&gt;=5), "", "Shade"))</f>
        <v>Shade</v>
      </c>
    </row>
    <row r="80" spans="1:22" ht="14">
      <c r="A80" s="284">
        <v>1</v>
      </c>
      <c r="B80" s="284">
        <v>2</v>
      </c>
      <c r="C80" s="284">
        <f t="array" ref="C80">IF(INDEX(TBL_003_DocMerge[PAS_or_SQ?], MATCH(1, (Job_No=TBL_003_DocMerge[Job_No])*(Doc_Lot=TBL_003_DocMerge[Lot]),0))="SQ", A80, B80)</f>
        <v>1</v>
      </c>
      <c r="D80" s="427" t="s">
        <v>653</v>
      </c>
      <c r="E80" s="428" t="str">
        <f t="array" ref="E80">IF(AND(INDEX(TBL_003_DocMerge[PAS_or_SQ?], MATCH(1, (Job_No=TBL_003_DocMerge[Job_No])*(Doc_Lot=TBL_003_DocMerge[Lot]),0))="SQ", D80="Q6.2"), "N/A", IF(OR(Lotted?="No", No_Lots?&lt;5),"N/A", IF(SQ_Same_Qs?="Yes", IF(SQ_Qs_Lot_1&gt;=$C80, INDEX(TBL_008_Qs_Lot_1[Max score], MATCH(1, (SUBSTITUTE($D80, "*", "")=TBL_008_Qs_Lot_1[Q.])*("Question"=TBL_008_Qs_Lot_1[Type]),0)), "N/A"), IF(SQ_Qs_Lot_5&gt;=$C80, INDEX(#REF!, MATCH(1, (SUBSTITUTE($D80, "*", "")=#REF!)*("Question"=#REF!),0)), "N/A"))))</f>
        <v>N/A</v>
      </c>
      <c r="F80" s="428" t="str">
        <f t="array" ref="F80">IF(OR(SQ_Weighted?="No", $E80="N/A", $E80=0),"N/A",IF(SQ_Same_Qs?="Yes", INDEX(TBL_008_Qs_Lot_1[Weighting],MATCH(1,(SUBSTITUTE($D80,"*","")=TBL_008_Qs_Lot_1[Q.])*("Question"=TBL_008_Qs_Lot_1[Type]),0)), INDEX(#REF!,MATCH(1,(SUBSTITUTE($D80,"*","")=#REF!)*("Question"=#REF!),0))))</f>
        <v>N/A</v>
      </c>
      <c r="G80" s="429" t="str">
        <f t="shared" si="8"/>
        <v>Question not used</v>
      </c>
      <c r="I80" s="424">
        <v>2</v>
      </c>
      <c r="J80" s="427" t="s">
        <v>1080</v>
      </c>
      <c r="K80" s="428" t="e">
        <f t="array" ref="K80">IF(OR(Lotted?="No", No_Lots?&lt;5), "N/A", IF(Tech_Same_Qs?="Yes", IF(Tech_Qs_Lot_1&gt;=I80, INDEX(TBL_008_Qs_Lot_1[Max score], MATCH(1, (J80=TBL_008_Qs_Lot_1[Q.])*("Question"=TBL_008_Qs_Lot_1[Type]),0)), "N/A"), IF(Tech_Qs_Lot_5&gt;=I80, INDEX(#REF!, MATCH(1, (J80=#REF!)*("Question"=#REF!),0)), "N/A")))</f>
        <v>#REF!</v>
      </c>
      <c r="L80" s="428" t="e">
        <f t="array" ref="L80">IF(OR(Tech_Weighted?="No", K80="N/A", K80=0), "N/A", IF(Tech_Same_Qs?="Yes", INDEX(TBL_008_Qs_Lot_1[Weighting], MATCH(1, (J80=TBL_008_Qs_Lot_1[Q.])*("Question"=TBL_008_Qs_Lot_1[Type]),0)), INDEX(#REF!, MATCH(1, (J80=#REF!)*("Question"=#REF!),0))))</f>
        <v>#REF!</v>
      </c>
      <c r="M80" s="429" t="e">
        <f t="shared" si="9"/>
        <v>#REF!</v>
      </c>
      <c r="O80" s="424">
        <v>2</v>
      </c>
      <c r="P80" s="427" t="s">
        <v>1090</v>
      </c>
      <c r="Q80" s="428" t="str">
        <f t="array" ref="Q80">IF(OR(Int_or_SV="Not applicable", Lotted?="No", No_Lots?&lt;5), "N/A", IF(IntSV_Same_Qs?="Yes", IF(IntSV_Qs_Lot_1&gt;=O80, INDEX(TBL_008_Qs_Lot_1[Max score], MATCH(1, (P80=TBL_008_Qs_Lot_1[Q.])*("Question"=TBL_008_Qs_Lot_1[Type]),0)), "N/A"), IF(IntSV_Qs_Lot_5&gt;=O80, INDEX(#REF!, MATCH(1, (P80=#REF!)*("Question"=#REF!),0)), "N/A")))</f>
        <v>N/A</v>
      </c>
      <c r="R80" s="428" t="str">
        <f t="array" ref="R80">IF(OR(IntSV_Weighted?="No", Q80="N/A", Q80=0), "N/A", IF(IntSV_Same_Qs?="Yes", INDEX(TBL_008_Qs_Lot_1[Weighting], MATCH(1, (P80=TBL_008_Qs_Lot_1[Q.])*("Question"=TBL_008_Qs_Lot_1[Type]),0)), INDEX(#REF!, MATCH(1, (P80=#REF!)*("Question"=#REF!),0))))</f>
        <v>N/A</v>
      </c>
      <c r="S80" s="429" t="str">
        <f>IF(R80="N/A", "Question not used", CONCATENATE("([Marks awarded for ", P80, "] / ", Q80, ".00) x ", R80, ".00"))</f>
        <v>Question not used</v>
      </c>
      <c r="T80" s="284" t="str">
        <f>IF(OR('Project Info'!$B$18="Open Procedure", 'Project Info'!$B$20="SQ"), IF(AND(Lotted?="Yes", No_Lots?&gt;=5), IF(Doc_Lot="All", IF(SQ_Same_Qs?="Yes", "Shade", ""), "Shade"), "Shade"), "Shade")</f>
        <v>Shade</v>
      </c>
      <c r="U80" s="284" t="str">
        <f>IF(OR('Project Info'!$B$20="SQ", Price_split=100), "Shade", IF(AND(Lotted?="Yes", No_Lots?&gt;=5), IF(Doc_Lot="All", IF(Tech_Same_Qs?="Yes", "Shade", ""), "Shade"), "Shade"))</f>
        <v>Shade</v>
      </c>
      <c r="V80" s="284" t="str">
        <f>IF(OR('Project Info'!$B$20="SQ", Price_split=100, Int_or_SV="Not applicable"), "Shade", IF(AND(Lotted?="Yes", No_Lots?&gt;=5), "", "Shade"))</f>
        <v>Shade</v>
      </c>
    </row>
    <row r="81" spans="1:22" ht="14">
      <c r="A81" s="284">
        <v>1</v>
      </c>
      <c r="B81" s="284">
        <v>3</v>
      </c>
      <c r="C81" s="284">
        <f t="array" ref="C81">IF(INDEX(TBL_003_DocMerge[PAS_or_SQ?], MATCH(1, (Job_No=TBL_003_DocMerge[Job_No])*(Doc_Lot=TBL_003_DocMerge[Lot]),0))="SQ", A81, B81)</f>
        <v>1</v>
      </c>
      <c r="D81" s="367" t="str">
        <f t="array" ref="D81">IF(INDEX(TBL_003_DocMerge[PAS_or_SQ?], MATCH(1, (Job_No=TBL_003_DocMerge[Job_No])*(Doc_Lot=TBL_003_DocMerge[Lot]),0))="SQ", "Q6.3*", "Q6.3")</f>
        <v>Q6.3*</v>
      </c>
      <c r="E81" s="428">
        <f t="array" ref="E81">IF(AND(INDEX(TBL_003_DocMerge[PAS_or_SQ?], MATCH(1, (Job_No=TBL_003_DocMerge[Job_No])*(Doc_Lot=TBL_003_DocMerge[Lot]),0))="SQ", D81="Q6.2"), "N/A", IF(OR(Lotted?="No", No_Lots?&lt;5),"N/A", IF(SQ_Same_Qs?="Yes", IF(SQ_Qs_Lot_1&gt;=$C81, INDEX(TBL_008_Qs_Lot_1[Max score], MATCH(1, (SUBSTITUTE($D81, "*", "")=TBL_008_Qs_Lot_1[Q.])*("Question"=TBL_008_Qs_Lot_1[Type]),0)), "N/A"), IF(SQ_Qs_Lot_5&gt;=$C81, INDEX(#REF!, MATCH(1, (SUBSTITUTE($D81, "*", "")=#REF!)*("Question"=#REF!),0)), "N/A"))))</f>
        <v>5</v>
      </c>
      <c r="F81" s="428" t="str">
        <f t="array" ref="F81">IF(OR(SQ_Weighted?="No", $E81="N/A", $E81=0),"N/A",IF(SQ_Same_Qs?="Yes", INDEX(TBL_008_Qs_Lot_1[Weighting],MATCH(1,(SUBSTITUTE($D81,"*","")=TBL_008_Qs_Lot_1[Q.])*("Question"=TBL_008_Qs_Lot_1[Type]),0)), INDEX(#REF!,MATCH(1,(SUBSTITUTE($D81,"*","")=#REF!)*("Question"=#REF!),0))))</f>
        <v>N/A</v>
      </c>
      <c r="G81" s="429" t="str">
        <f t="shared" si="8"/>
        <v>Question not used</v>
      </c>
      <c r="I81" s="424">
        <v>3</v>
      </c>
      <c r="J81" s="427" t="s">
        <v>1081</v>
      </c>
      <c r="K81" s="428" t="e">
        <f t="array" ref="K81">IF(OR(Lotted?="No", No_Lots?&lt;5), "N/A", IF(Tech_Same_Qs?="Yes", IF(Tech_Qs_Lot_1&gt;=I81, INDEX(TBL_008_Qs_Lot_1[Max score], MATCH(1, (J81=TBL_008_Qs_Lot_1[Q.])*("Question"=TBL_008_Qs_Lot_1[Type]),0)), "N/A"), IF(Tech_Qs_Lot_5&gt;=I81, INDEX(#REF!, MATCH(1, (J81=#REF!)*("Question"=#REF!),0)), "N/A")))</f>
        <v>#REF!</v>
      </c>
      <c r="L81" s="428" t="e">
        <f t="array" ref="L81">IF(OR(Tech_Weighted?="No", K81="N/A", K81=0), "N/A", IF(Tech_Same_Qs?="Yes", INDEX(TBL_008_Qs_Lot_1[Weighting], MATCH(1, (J81=TBL_008_Qs_Lot_1[Q.])*("Question"=TBL_008_Qs_Lot_1[Type]),0)), INDEX(#REF!, MATCH(1, (J81=#REF!)*("Question"=#REF!),0))))</f>
        <v>#REF!</v>
      </c>
      <c r="M81" s="429" t="e">
        <f t="shared" si="9"/>
        <v>#REF!</v>
      </c>
      <c r="O81" s="424">
        <v>3</v>
      </c>
      <c r="P81" s="427" t="s">
        <v>1091</v>
      </c>
      <c r="Q81" s="428" t="str">
        <f t="array" ref="Q81">IF(OR(Int_or_SV="Not applicable", Lotted?="No", No_Lots?&lt;5), "N/A", IF(IntSV_Same_Qs?="Yes", IF(IntSV_Qs_Lot_1&gt;=O81, INDEX(TBL_008_Qs_Lot_1[Max score], MATCH(1, (P81=TBL_008_Qs_Lot_1[Q.])*("Question"=TBL_008_Qs_Lot_1[Type]),0)), "N/A"), IF(IntSV_Qs_Lot_5&gt;=O81, INDEX(#REF!, MATCH(1, (P81=#REF!)*("Question"=#REF!),0)), "N/A")))</f>
        <v>N/A</v>
      </c>
      <c r="R81" s="428" t="str">
        <f t="array" ref="R81">IF(OR(IntSV_Weighted?="No", Q81="N/A", Q81=0), "N/A", IF(IntSV_Same_Qs?="Yes", INDEX(TBL_008_Qs_Lot_1[Weighting], MATCH(1, (P81=TBL_008_Qs_Lot_1[Q.])*("Question"=TBL_008_Qs_Lot_1[Type]),0)), INDEX(#REF!, MATCH(1, (P81=#REF!)*("Question"=#REF!),0))))</f>
        <v>N/A</v>
      </c>
      <c r="S81" s="429" t="str">
        <f>IF(R81="N/A", "Question not used", CONCATENATE("([Marks awarded for ", P81, "] / ", Q81, ".00) x ", R81, ".00"))</f>
        <v>Question not used</v>
      </c>
      <c r="T81" s="284" t="str">
        <f>IF(OR('Project Info'!$B$18="Open Procedure", 'Project Info'!$B$20="SQ"), IF(AND(Lotted?="Yes", No_Lots?&gt;=5), IF(Doc_Lot="All", IF(SQ_Same_Qs?="Yes", "Shade", ""), "Shade"), "Shade"), "Shade")</f>
        <v>Shade</v>
      </c>
      <c r="U81" s="284" t="str">
        <f>IF(OR('Project Info'!$B$20="SQ", Price_split=100), "Shade", IF(AND(Lotted?="Yes", No_Lots?&gt;=5), IF(Doc_Lot="All", IF(Tech_Same_Qs?="Yes", "Shade", ""), "Shade"), "Shade"))</f>
        <v>Shade</v>
      </c>
      <c r="V81" s="284" t="str">
        <f>IF(OR('Project Info'!$B$20="SQ", Price_split=100, Int_or_SV="Not applicable"), "Shade", IF(AND(Lotted?="Yes", No_Lots?&gt;=5), "", "Shade"))</f>
        <v>Shade</v>
      </c>
    </row>
    <row r="82" spans="1:22" ht="14">
      <c r="A82" s="284">
        <v>2</v>
      </c>
      <c r="B82" s="284">
        <v>4</v>
      </c>
      <c r="C82" s="284">
        <f t="array" ref="C82">IF(INDEX(TBL_003_DocMerge[PAS_or_SQ?], MATCH(1, (Job_No=TBL_003_DocMerge[Job_No])*(Doc_Lot=TBL_003_DocMerge[Lot]),0))="SQ", A82, B82)</f>
        <v>2</v>
      </c>
      <c r="D82" s="427" t="s">
        <v>399</v>
      </c>
      <c r="E82" s="428" t="str">
        <f t="array" ref="E82">IF(AND(INDEX(TBL_003_DocMerge[PAS_or_SQ?], MATCH(1, (Job_No=TBL_003_DocMerge[Job_No])*(Doc_Lot=TBL_003_DocMerge[Lot]),0))="SQ", D82="Q6.2"), "N/A", IF(OR(Lotted?="No", No_Lots?&lt;5),"N/A", IF(SQ_Same_Qs?="Yes", IF(SQ_Qs_Lot_1&gt;=$C82, INDEX(TBL_008_Qs_Lot_1[Max score], MATCH(1, (SUBSTITUTE($D82, "*", "")=TBL_008_Qs_Lot_1[Q.])*("Question"=TBL_008_Qs_Lot_1[Type]),0)), "N/A"), IF(SQ_Qs_Lot_5&gt;=$C82, INDEX(#REF!, MATCH(1, (SUBSTITUTE($D82, "*", "")=#REF!)*("Question"=#REF!),0)), "N/A"))))</f>
        <v>N/A</v>
      </c>
      <c r="F82" s="428" t="str">
        <f t="array" ref="F82">IF(OR(SQ_Weighted?="No", $E82="N/A", $E82=0),"N/A",IF(SQ_Same_Qs?="Yes", INDEX(TBL_008_Qs_Lot_1[Weighting],MATCH(1,(SUBSTITUTE($D82,"*","")=TBL_008_Qs_Lot_1[Q.])*("Question"=TBL_008_Qs_Lot_1[Type]),0)), INDEX(#REF!,MATCH(1,(SUBSTITUTE($D82,"*","")=#REF!)*("Question"=#REF!),0))))</f>
        <v>N/A</v>
      </c>
      <c r="G82" s="429" t="str">
        <f t="shared" si="8"/>
        <v>Question not used</v>
      </c>
      <c r="I82" s="424">
        <v>4</v>
      </c>
      <c r="J82" s="427" t="s">
        <v>1082</v>
      </c>
      <c r="K82" s="428" t="e">
        <f t="array" ref="K82">IF(OR(Lotted?="No", No_Lots?&lt;5), "N/A", IF(Tech_Same_Qs?="Yes", IF(Tech_Qs_Lot_1&gt;=I82, INDEX(TBL_008_Qs_Lot_1[Max score], MATCH(1, (J82=TBL_008_Qs_Lot_1[Q.])*("Question"=TBL_008_Qs_Lot_1[Type]),0)), "N/A"), IF(Tech_Qs_Lot_5&gt;=I82, INDEX(#REF!, MATCH(1, (J82=#REF!)*("Question"=#REF!),0)), "N/A")))</f>
        <v>#REF!</v>
      </c>
      <c r="L82" s="428" t="e">
        <f t="array" ref="L82">IF(OR(Tech_Weighted?="No", K82="N/A", K82=0), "N/A", IF(Tech_Same_Qs?="Yes", INDEX(TBL_008_Qs_Lot_1[Weighting], MATCH(1, (J82=TBL_008_Qs_Lot_1[Q.])*("Question"=TBL_008_Qs_Lot_1[Type]),0)), INDEX(#REF!, MATCH(1, (J82=#REF!)*("Question"=#REF!),0))))</f>
        <v>#REF!</v>
      </c>
      <c r="M82" s="429" t="e">
        <f t="shared" si="9"/>
        <v>#REF!</v>
      </c>
      <c r="O82" s="424">
        <v>4</v>
      </c>
      <c r="P82" s="427" t="s">
        <v>1092</v>
      </c>
      <c r="Q82" s="428" t="str">
        <f t="array" ref="Q82">IF(OR(Int_or_SV="Not applicable", Lotted?="No", No_Lots?&lt;5), "N/A", IF(IntSV_Same_Qs?="Yes", IF(IntSV_Qs_Lot_1&gt;=O82, INDEX(TBL_008_Qs_Lot_1[Max score], MATCH(1, (P82=TBL_008_Qs_Lot_1[Q.])*("Question"=TBL_008_Qs_Lot_1[Type]),0)), "N/A"), IF(IntSV_Qs_Lot_5&gt;=O82, INDEX(#REF!, MATCH(1, (P82=#REF!)*("Question"=#REF!),0)), "N/A")))</f>
        <v>N/A</v>
      </c>
      <c r="R82" s="428" t="str">
        <f t="array" ref="R82">IF(OR(IntSV_Weighted?="No", Q82="N/A", Q82=0), "N/A", IF(IntSV_Same_Qs?="Yes", INDEX(TBL_008_Qs_Lot_1[Weighting], MATCH(1, (P82=TBL_008_Qs_Lot_1[Q.])*("Question"=TBL_008_Qs_Lot_1[Type]),0)), INDEX(#REF!, MATCH(1, (P82=#REF!)*("Question"=#REF!),0))))</f>
        <v>N/A</v>
      </c>
      <c r="S82" s="429" t="str">
        <f>IF(R82="N/A", "Question not used", CONCATENATE("([Marks awarded for ", P82, "] / ", Q82, ".00) x ", R82, ".00"))</f>
        <v>Question not used</v>
      </c>
      <c r="T82" s="284" t="str">
        <f>IF(OR('Project Info'!$B$18="Open Procedure", 'Project Info'!$B$20="SQ"), IF(AND(Lotted?="Yes", No_Lots?&gt;=5), IF(Doc_Lot="All", IF(SQ_Same_Qs?="Yes", "Shade", ""), "Shade"), "Shade"), "Shade")</f>
        <v>Shade</v>
      </c>
      <c r="U82" s="284" t="str">
        <f>IF(OR('Project Info'!$B$20="SQ", Price_split=100), "Shade", IF(AND(Lotted?="Yes", No_Lots?&gt;=5), IF(Doc_Lot="All", IF(Tech_Same_Qs?="Yes", "Shade", ""), "Shade"), "Shade"))</f>
        <v>Shade</v>
      </c>
      <c r="V82" s="284" t="str">
        <f>IF(OR('Project Info'!$B$20="SQ", Price_split=100, Int_or_SV="Not applicable"), "Shade", IF(AND(Lotted?="Yes", No_Lots?&gt;=5), "", "Shade"))</f>
        <v>Shade</v>
      </c>
    </row>
    <row r="83" spans="1:22" ht="14">
      <c r="A83" s="284">
        <v>3</v>
      </c>
      <c r="B83" s="284">
        <v>5</v>
      </c>
      <c r="C83" s="284">
        <f t="array" ref="C83">IF(INDEX(TBL_003_DocMerge[PAS_or_SQ?], MATCH(1, (Job_No=TBL_003_DocMerge[Job_No])*(Doc_Lot=TBL_003_DocMerge[Lot]),0))="SQ", A83, B83)</f>
        <v>3</v>
      </c>
      <c r="D83" s="427" t="s">
        <v>410</v>
      </c>
      <c r="E83" s="428" t="str">
        <f t="array" ref="E83">IF(AND(INDEX(TBL_003_DocMerge[PAS_or_SQ?], MATCH(1, (Job_No=TBL_003_DocMerge[Job_No])*(Doc_Lot=TBL_003_DocMerge[Lot]),0))="SQ", D83="Q6.2"), "N/A", IF(OR(Lotted?="No", No_Lots?&lt;5),"N/A", IF(SQ_Same_Qs?="Yes", IF(SQ_Qs_Lot_1&gt;=$C83, INDEX(TBL_008_Qs_Lot_1[Max score], MATCH(1, (SUBSTITUTE($D83, "*", "")=TBL_008_Qs_Lot_1[Q.])*("Question"=TBL_008_Qs_Lot_1[Type]),0)), "N/A"), IF(SQ_Qs_Lot_5&gt;=$C83, INDEX(#REF!, MATCH(1, (SUBSTITUTE($D83, "*", "")=#REF!)*("Question"=#REF!),0)), "N/A"))))</f>
        <v>N/A</v>
      </c>
      <c r="F83" s="428" t="str">
        <f t="array" ref="F83">IF(OR(SQ_Weighted?="No", $E83="N/A", $E83=0),"N/A",IF(SQ_Same_Qs?="Yes", INDEX(TBL_008_Qs_Lot_1[Weighting],MATCH(1,(SUBSTITUTE($D83,"*","")=TBL_008_Qs_Lot_1[Q.])*("Question"=TBL_008_Qs_Lot_1[Type]),0)), INDEX(#REF!,MATCH(1,(SUBSTITUTE($D83,"*","")=#REF!)*("Question"=#REF!),0))))</f>
        <v>N/A</v>
      </c>
      <c r="G83" s="429" t="str">
        <f t="shared" si="8"/>
        <v>Question not used</v>
      </c>
      <c r="I83" s="424">
        <v>5</v>
      </c>
      <c r="J83" s="427" t="s">
        <v>1083</v>
      </c>
      <c r="K83" s="428" t="e">
        <f t="array" ref="K83">IF(OR(Lotted?="No", No_Lots?&lt;5), "N/A", IF(Tech_Same_Qs?="Yes", IF(Tech_Qs_Lot_1&gt;=I83, INDEX(TBL_008_Qs_Lot_1[Max score], MATCH(1, (J83=TBL_008_Qs_Lot_1[Q.])*("Question"=TBL_008_Qs_Lot_1[Type]),0)), "N/A"), IF(Tech_Qs_Lot_5&gt;=I83, INDEX(#REF!, MATCH(1, (J83=#REF!)*("Question"=#REF!),0)), "N/A")))</f>
        <v>#REF!</v>
      </c>
      <c r="L83" s="428" t="e">
        <f t="array" ref="L83">IF(OR(Tech_Weighted?="No", K83="N/A", K83=0), "N/A", IF(Tech_Same_Qs?="Yes", INDEX(TBL_008_Qs_Lot_1[Weighting], MATCH(1, (J83=TBL_008_Qs_Lot_1[Q.])*("Question"=TBL_008_Qs_Lot_1[Type]),0)), INDEX(#REF!, MATCH(1, (J83=#REF!)*("Question"=#REF!),0))))</f>
        <v>#REF!</v>
      </c>
      <c r="M83" s="429" t="e">
        <f t="shared" si="9"/>
        <v>#REF!</v>
      </c>
      <c r="O83" s="424">
        <v>5</v>
      </c>
      <c r="P83" s="427" t="s">
        <v>1093</v>
      </c>
      <c r="Q83" s="428" t="str">
        <f t="array" ref="Q83">IF(OR(Int_or_SV="Not applicable", Lotted?="No", No_Lots?&lt;5), "N/A", IF(IntSV_Same_Qs?="Yes", IF(IntSV_Qs_Lot_1&gt;=O83, INDEX(TBL_008_Qs_Lot_1[Max score], MATCH(1, (P83=TBL_008_Qs_Lot_1[Q.])*("Question"=TBL_008_Qs_Lot_1[Type]),0)), "N/A"), IF(IntSV_Qs_Lot_5&gt;=O83, INDEX(#REF!, MATCH(1, (P83=#REF!)*("Question"=#REF!),0)), "N/A")))</f>
        <v>N/A</v>
      </c>
      <c r="R83" s="428" t="str">
        <f t="array" ref="R83">IF(OR(IntSV_Weighted?="No", Q83="N/A", Q83=0), "N/A", IF(IntSV_Same_Qs?="Yes", INDEX(TBL_008_Qs_Lot_1[Weighting], MATCH(1, (P83=TBL_008_Qs_Lot_1[Q.])*("Question"=TBL_008_Qs_Lot_1[Type]),0)), INDEX(#REF!, MATCH(1, (P83=#REF!)*("Question"=#REF!),0))))</f>
        <v>N/A</v>
      </c>
      <c r="S83" s="429" t="str">
        <f>IF(R83="N/A", "Question not used", CONCATENATE("([Marks awarded for ", P83, "] / ", Q83, ".00) x ", R83, ".00"))</f>
        <v>Question not used</v>
      </c>
      <c r="T83" s="284" t="str">
        <f>IF(OR('Project Info'!$B$18="Open Procedure", 'Project Info'!$B$20="SQ"), IF(AND(Lotted?="Yes", No_Lots?&gt;=5), IF(Doc_Lot="All", IF(SQ_Same_Qs?="Yes", "Shade", ""), "Shade"), "Shade"), "Shade")</f>
        <v>Shade</v>
      </c>
      <c r="U83" s="284" t="str">
        <f>IF(OR('Project Info'!$B$20="SQ", Price_split=100), "Shade", IF(AND(Lotted?="Yes", No_Lots?&gt;=5), IF(Doc_Lot="All", IF(Tech_Same_Qs?="Yes", "Shade", ""), "Shade"), "Shade"))</f>
        <v>Shade</v>
      </c>
      <c r="V83" s="284" t="str">
        <f>IF(OR('Project Info'!$B$20="SQ", Price_split=100, Int_or_SV="Not applicable"), "Shade", IF(AND(Lotted?="Yes", No_Lots?&gt;=5), "", "Shade"))</f>
        <v>Shade</v>
      </c>
    </row>
    <row r="84" spans="1:22" ht="14">
      <c r="A84" s="284">
        <v>4</v>
      </c>
      <c r="B84" s="284">
        <v>6</v>
      </c>
      <c r="C84" s="284">
        <f t="array" ref="C84">IF(INDEX(TBL_003_DocMerge[PAS_or_SQ?], MATCH(1, (Job_No=TBL_003_DocMerge[Job_No])*(Doc_Lot=TBL_003_DocMerge[Lot]),0))="SQ", A84, B84)</f>
        <v>4</v>
      </c>
      <c r="D84" s="427" t="s">
        <v>421</v>
      </c>
      <c r="E84" s="428" t="str">
        <f t="array" ref="E84">IF(AND(INDEX(TBL_003_DocMerge[PAS_or_SQ?], MATCH(1, (Job_No=TBL_003_DocMerge[Job_No])*(Doc_Lot=TBL_003_DocMerge[Lot]),0))="SQ", D84="Q6.2"), "N/A", IF(OR(Lotted?="No", No_Lots?&lt;5),"N/A", IF(SQ_Same_Qs?="Yes", IF(SQ_Qs_Lot_1&gt;=$C84, INDEX(TBL_008_Qs_Lot_1[Max score], MATCH(1, (SUBSTITUTE($D84, "*", "")=TBL_008_Qs_Lot_1[Q.])*("Question"=TBL_008_Qs_Lot_1[Type]),0)), "N/A"), IF(SQ_Qs_Lot_5&gt;=$C84, INDEX(#REF!, MATCH(1, (SUBSTITUTE($D84, "*", "")=#REF!)*("Question"=#REF!),0)), "N/A"))))</f>
        <v>N/A</v>
      </c>
      <c r="F84" s="428" t="str">
        <f t="array" ref="F84">IF(OR(SQ_Weighted?="No", $E84="N/A", $E84=0),"N/A",IF(SQ_Same_Qs?="Yes", INDEX(TBL_008_Qs_Lot_1[Weighting],MATCH(1,(SUBSTITUTE($D84,"*","")=TBL_008_Qs_Lot_1[Q.])*("Question"=TBL_008_Qs_Lot_1[Type]),0)), INDEX(#REF!,MATCH(1,(SUBSTITUTE($D84,"*","")=#REF!)*("Question"=#REF!),0))))</f>
        <v>N/A</v>
      </c>
      <c r="G84" s="429" t="str">
        <f t="shared" si="8"/>
        <v>Question not used</v>
      </c>
      <c r="I84" s="424">
        <v>6</v>
      </c>
      <c r="J84" s="427" t="s">
        <v>1084</v>
      </c>
      <c r="K84" s="428" t="e">
        <f t="array" ref="K84">IF(OR(Lotted?="No", No_Lots?&lt;5), "N/A", IF(Tech_Same_Qs?="Yes", IF(Tech_Qs_Lot_1&gt;=I84, INDEX(TBL_008_Qs_Lot_1[Max score], MATCH(1, (J84=TBL_008_Qs_Lot_1[Q.])*("Question"=TBL_008_Qs_Lot_1[Type]),0)), "N/A"), IF(Tech_Qs_Lot_5&gt;=I84, INDEX(#REF!, MATCH(1, (J84=#REF!)*("Question"=#REF!),0)), "N/A")))</f>
        <v>#REF!</v>
      </c>
      <c r="L84" s="428" t="e">
        <f t="array" ref="L84">IF(OR(Tech_Weighted?="No", K84="N/A", K84=0), "N/A", IF(Tech_Same_Qs?="Yes", INDEX(TBL_008_Qs_Lot_1[Weighting], MATCH(1, (J84=TBL_008_Qs_Lot_1[Q.])*("Question"=TBL_008_Qs_Lot_1[Type]),0)), INDEX(#REF!, MATCH(1, (J84=#REF!)*("Question"=#REF!),0))))</f>
        <v>#REF!</v>
      </c>
      <c r="M84" s="429" t="e">
        <f t="shared" si="9"/>
        <v>#REF!</v>
      </c>
      <c r="P84" s="327" t="str">
        <f>IF(IntSV_Weighted?="Yes", "", "Total:")</f>
        <v>Total:</v>
      </c>
      <c r="Q84" s="431">
        <f>IF(IntSV_Weighted?="Yes", "Total:", SUM(Q79:Q83))</f>
        <v>0</v>
      </c>
      <c r="R84" s="324">
        <f>IF(OR(Int_or_SV="No", No_Lots?&lt;5), "N/A", IF(SUM(R79:R83)=IntSV_Weighting, SUM(R79:R83), "Error!"))</f>
        <v>0</v>
      </c>
      <c r="S84" s="325" t="s">
        <v>868</v>
      </c>
      <c r="T84" s="284" t="str">
        <f>IF(OR('Project Info'!$B$18="Open Procedure", 'Project Info'!$B$20="SQ"), IF(AND(Lotted?="Yes", No_Lots?&gt;=5), IF(Doc_Lot="All", IF(SQ_Same_Qs?="Yes", "Shade", ""), "Shade"), "Shade"), "Shade")</f>
        <v>Shade</v>
      </c>
      <c r="U84" s="284" t="str">
        <f>IF(OR('Project Info'!$B$20="SQ", Price_split=100), "Shade", IF(AND(Lotted?="Yes", No_Lots?&gt;=5), IF(Doc_Lot="All", IF(Tech_Same_Qs?="Yes", "Shade", ""), "Shade"), "Shade"))</f>
        <v>Shade</v>
      </c>
      <c r="V84" s="284" t="str">
        <f>IF(OR('Project Info'!$B$20="SQ", Price_split=100, Int_or_SV="Not applicable"), "Shade", IF(AND(Lotted?="Yes", No_Lots?&gt;=5), "", "Shade"))</f>
        <v>Shade</v>
      </c>
    </row>
    <row r="85" spans="1:22" ht="14">
      <c r="A85" s="284">
        <v>5</v>
      </c>
      <c r="B85" s="284">
        <v>7</v>
      </c>
      <c r="C85" s="284">
        <f t="array" ref="C85">IF(INDEX(TBL_003_DocMerge[PAS_or_SQ?], MATCH(1, (Job_No=TBL_003_DocMerge[Job_No])*(Doc_Lot=TBL_003_DocMerge[Lot]),0))="SQ", A85, B85)</f>
        <v>5</v>
      </c>
      <c r="D85" s="427" t="s">
        <v>430</v>
      </c>
      <c r="E85" s="428" t="str">
        <f t="array" ref="E85">IF(AND(INDEX(TBL_003_DocMerge[PAS_or_SQ?], MATCH(1, (Job_No=TBL_003_DocMerge[Job_No])*(Doc_Lot=TBL_003_DocMerge[Lot]),0))="SQ", D85="Q6.2"), "N/A", IF(OR(Lotted?="No", No_Lots?&lt;5),"N/A", IF(SQ_Same_Qs?="Yes", IF(SQ_Qs_Lot_1&gt;=$C85, INDEX(TBL_008_Qs_Lot_1[Max score], MATCH(1, (SUBSTITUTE($D85, "*", "")=TBL_008_Qs_Lot_1[Q.])*("Question"=TBL_008_Qs_Lot_1[Type]),0)), "N/A"), IF(SQ_Qs_Lot_5&gt;=$C85, INDEX(#REF!, MATCH(1, (SUBSTITUTE($D85, "*", "")=#REF!)*("Question"=#REF!),0)), "N/A"))))</f>
        <v>N/A</v>
      </c>
      <c r="F85" s="428" t="str">
        <f t="array" ref="F85">IF(OR(SQ_Weighted?="No", $E85="N/A", $E85=0),"N/A",IF(SQ_Same_Qs?="Yes", INDEX(TBL_008_Qs_Lot_1[Weighting],MATCH(1,(SUBSTITUTE($D85,"*","")=TBL_008_Qs_Lot_1[Q.])*("Question"=TBL_008_Qs_Lot_1[Type]),0)), INDEX(#REF!,MATCH(1,(SUBSTITUTE($D85,"*","")=#REF!)*("Question"=#REF!),0))))</f>
        <v>N/A</v>
      </c>
      <c r="G85" s="429" t="str">
        <f t="shared" si="8"/>
        <v>Question not used</v>
      </c>
      <c r="I85" s="424">
        <v>7</v>
      </c>
      <c r="J85" s="427" t="s">
        <v>1085</v>
      </c>
      <c r="K85" s="428" t="e">
        <f t="array" ref="K85">IF(OR(Lotted?="No", No_Lots?&lt;5), "N/A", IF(Tech_Same_Qs?="Yes", IF(Tech_Qs_Lot_1&gt;=I85, INDEX(TBL_008_Qs_Lot_1[Max score], MATCH(1, (J85=TBL_008_Qs_Lot_1[Q.])*("Question"=TBL_008_Qs_Lot_1[Type]),0)), "N/A"), IF(Tech_Qs_Lot_5&gt;=I85, INDEX(#REF!, MATCH(1, (J85=#REF!)*("Question"=#REF!),0)), "N/A")))</f>
        <v>#REF!</v>
      </c>
      <c r="L85" s="428" t="e">
        <f t="array" ref="L85">IF(OR(Tech_Weighted?="No", K85="N/A", K85=0), "N/A", IF(Tech_Same_Qs?="Yes", INDEX(TBL_008_Qs_Lot_1[Weighting], MATCH(1, (J85=TBL_008_Qs_Lot_1[Q.])*("Question"=TBL_008_Qs_Lot_1[Type]),0)), INDEX(#REF!, MATCH(1, (J85=#REF!)*("Question"=#REF!),0))))</f>
        <v>#REF!</v>
      </c>
      <c r="M85" s="429" t="e">
        <f t="shared" si="9"/>
        <v>#REF!</v>
      </c>
      <c r="P85" s="432"/>
      <c r="Q85" s="433"/>
      <c r="R85" s="433"/>
      <c r="S85" s="434"/>
      <c r="T85" s="284" t="str">
        <f>IF(OR('Project Info'!$B$18="Open Procedure", 'Project Info'!$B$20="SQ"), IF(AND(Lotted?="Yes", No_Lots?&gt;=5), IF(Doc_Lot="All", IF(SQ_Same_Qs?="Yes", "Shade", ""), "Shade"), "Shade"), "Shade")</f>
        <v>Shade</v>
      </c>
      <c r="U85" s="284" t="str">
        <f>IF(OR('Project Info'!$B$20="SQ", Price_split=100), "Shade", IF(AND(Lotted?="Yes", No_Lots?&gt;=5), IF(Doc_Lot="All", IF(Tech_Same_Qs?="Yes", "Shade", ""), "Shade"), "Shade"))</f>
        <v>Shade</v>
      </c>
      <c r="V85" s="284" t="str">
        <f>IF(OR('Project Info'!$B$20="SQ", Price_split=100, Int_or_SV="Not applicable"), "Shade", IF(AND(Lotted?="Yes", No_Lots?&gt;=5), "", "Shade"))</f>
        <v>Shade</v>
      </c>
    </row>
    <row r="86" spans="1:22" ht="14">
      <c r="A86" s="284">
        <v>6</v>
      </c>
      <c r="B86" s="284">
        <v>8</v>
      </c>
      <c r="C86" s="284">
        <f t="array" ref="C86">IF(INDEX(TBL_003_DocMerge[PAS_or_SQ?], MATCH(1, (Job_No=TBL_003_DocMerge[Job_No])*(Doc_Lot=TBL_003_DocMerge[Lot]),0))="SQ", A86, B86)</f>
        <v>6</v>
      </c>
      <c r="D86" s="427" t="s">
        <v>441</v>
      </c>
      <c r="E86" s="428" t="str">
        <f t="array" ref="E86">IF(AND(INDEX(TBL_003_DocMerge[PAS_or_SQ?], MATCH(1, (Job_No=TBL_003_DocMerge[Job_No])*(Doc_Lot=TBL_003_DocMerge[Lot]),0))="SQ", D86="Q6.2"), "N/A", IF(OR(Lotted?="No", No_Lots?&lt;5),"N/A", IF(SQ_Same_Qs?="Yes", IF(SQ_Qs_Lot_1&gt;=$C86, INDEX(TBL_008_Qs_Lot_1[Max score], MATCH(1, (SUBSTITUTE($D86, "*", "")=TBL_008_Qs_Lot_1[Q.])*("Question"=TBL_008_Qs_Lot_1[Type]),0)), "N/A"), IF(SQ_Qs_Lot_5&gt;=$C86, INDEX(#REF!, MATCH(1, (SUBSTITUTE($D86, "*", "")=#REF!)*("Question"=#REF!),0)), "N/A"))))</f>
        <v>N/A</v>
      </c>
      <c r="F86" s="428" t="str">
        <f t="array" ref="F86">IF(OR(SQ_Weighted?="No", $E86="N/A", $E86=0),"N/A",IF(SQ_Same_Qs?="Yes", INDEX(TBL_008_Qs_Lot_1[Weighting],MATCH(1,(SUBSTITUTE($D86,"*","")=TBL_008_Qs_Lot_1[Q.])*("Question"=TBL_008_Qs_Lot_1[Type]),0)), INDEX(#REF!,MATCH(1,(SUBSTITUTE($D86,"*","")=#REF!)*("Question"=#REF!),0))))</f>
        <v>N/A</v>
      </c>
      <c r="G86" s="429" t="str">
        <f t="shared" si="8"/>
        <v>Question not used</v>
      </c>
      <c r="I86" s="424">
        <v>8</v>
      </c>
      <c r="J86" s="427" t="s">
        <v>1086</v>
      </c>
      <c r="K86" s="428" t="e">
        <f t="array" ref="K86">IF(OR(Lotted?="No", No_Lots?&lt;5), "N/A", IF(Tech_Same_Qs?="Yes", IF(Tech_Qs_Lot_1&gt;=I86, INDEX(TBL_008_Qs_Lot_1[Max score], MATCH(1, (J86=TBL_008_Qs_Lot_1[Q.])*("Question"=TBL_008_Qs_Lot_1[Type]),0)), "N/A"), IF(Tech_Qs_Lot_5&gt;=I86, INDEX(#REF!, MATCH(1, (J86=#REF!)*("Question"=#REF!),0)), "N/A")))</f>
        <v>#REF!</v>
      </c>
      <c r="L86" s="428" t="e">
        <f t="array" ref="L86">IF(OR(Tech_Weighted?="No", K86="N/A", K86=0), "N/A", IF(Tech_Same_Qs?="Yes", INDEX(TBL_008_Qs_Lot_1[Weighting], MATCH(1, (J86=TBL_008_Qs_Lot_1[Q.])*("Question"=TBL_008_Qs_Lot_1[Type]),0)), INDEX(#REF!, MATCH(1, (J86=#REF!)*("Question"=#REF!),0))))</f>
        <v>#REF!</v>
      </c>
      <c r="M86" s="429" t="e">
        <f t="shared" si="9"/>
        <v>#REF!</v>
      </c>
      <c r="P86" s="432"/>
      <c r="Q86" s="433"/>
      <c r="R86" s="433"/>
      <c r="S86" s="434"/>
      <c r="T86" s="284" t="str">
        <f>IF(OR('Project Info'!$B$18="Open Procedure", 'Project Info'!$B$20="SQ"), IF(AND(Lotted?="Yes", No_Lots?&gt;=5), IF(Doc_Lot="All", IF(SQ_Same_Qs?="Yes", "Shade", ""), "Shade"), "Shade"), "Shade")</f>
        <v>Shade</v>
      </c>
      <c r="U86" s="284" t="str">
        <f>IF(OR('Project Info'!$B$20="SQ", Price_split=100), "Shade", IF(AND(Lotted?="Yes", No_Lots?&gt;=5), IF(Doc_Lot="All", IF(Tech_Same_Qs?="Yes", "Shade", ""), "Shade"), "Shade"))</f>
        <v>Shade</v>
      </c>
      <c r="V86" s="284" t="str">
        <f>IF(OR('Project Info'!$B$20="SQ", Price_split=100, Int_or_SV="Not applicable"), "Shade", IF(AND(Lotted?="Yes", No_Lots?&gt;=5), "", "Shade"))</f>
        <v>Shade</v>
      </c>
    </row>
    <row r="87" spans="1:22" ht="14">
      <c r="A87" s="284">
        <v>7</v>
      </c>
      <c r="B87" s="284">
        <v>9</v>
      </c>
      <c r="C87" s="284">
        <f t="array" ref="C87">IF(INDEX(TBL_003_DocMerge[PAS_or_SQ?], MATCH(1, (Job_No=TBL_003_DocMerge[Job_No])*(Doc_Lot=TBL_003_DocMerge[Lot]),0))="SQ", A87, B87)</f>
        <v>7</v>
      </c>
      <c r="D87" s="427" t="s">
        <v>697</v>
      </c>
      <c r="E87" s="428" t="str">
        <f t="array" ref="E87">IF(AND(INDEX(TBL_003_DocMerge[PAS_or_SQ?], MATCH(1, (Job_No=TBL_003_DocMerge[Job_No])*(Doc_Lot=TBL_003_DocMerge[Lot]),0))="SQ", D87="Q6.2"), "N/A", IF(OR(Lotted?="No", No_Lots?&lt;5),"N/A", IF(SQ_Same_Qs?="Yes", IF(SQ_Qs_Lot_1&gt;=$C87, INDEX(TBL_008_Qs_Lot_1[Max score], MATCH(1, (SUBSTITUTE($D87, "*", "")=TBL_008_Qs_Lot_1[Q.])*("Question"=TBL_008_Qs_Lot_1[Type]),0)), "N/A"), IF(SQ_Qs_Lot_5&gt;=$C87, INDEX(#REF!, MATCH(1, (SUBSTITUTE($D87, "*", "")=#REF!)*("Question"=#REF!),0)), "N/A"))))</f>
        <v>N/A</v>
      </c>
      <c r="F87" s="428" t="str">
        <f t="array" ref="F87">IF(OR(SQ_Weighted?="No", $E87="N/A", $E87=0),"N/A",IF(SQ_Same_Qs?="Yes", INDEX(TBL_008_Qs_Lot_1[Weighting],MATCH(1,(SUBSTITUTE($D87,"*","")=TBL_008_Qs_Lot_1[Q.])*("Question"=TBL_008_Qs_Lot_1[Type]),0)), INDEX(#REF!,MATCH(1,(SUBSTITUTE($D87,"*","")=#REF!)*("Question"=#REF!),0))))</f>
        <v>N/A</v>
      </c>
      <c r="G87" s="429" t="str">
        <f t="shared" si="8"/>
        <v>Question not used</v>
      </c>
      <c r="I87" s="424">
        <v>9</v>
      </c>
      <c r="J87" s="427" t="s">
        <v>1087</v>
      </c>
      <c r="K87" s="428" t="e">
        <f t="array" ref="K87">IF(OR(Lotted?="No", No_Lots?&lt;5), "N/A", IF(Tech_Same_Qs?="Yes", IF(Tech_Qs_Lot_1&gt;=I87, INDEX(TBL_008_Qs_Lot_1[Max score], MATCH(1, (J87=TBL_008_Qs_Lot_1[Q.])*("Question"=TBL_008_Qs_Lot_1[Type]),0)), "N/A"), IF(Tech_Qs_Lot_5&gt;=I87, INDEX(#REF!, MATCH(1, (J87=#REF!)*("Question"=#REF!),0)), "N/A")))</f>
        <v>#REF!</v>
      </c>
      <c r="L87" s="428" t="e">
        <f t="array" ref="L87">IF(OR(Tech_Weighted?="No", K87="N/A", K87=0), "N/A", IF(Tech_Same_Qs?="Yes", INDEX(TBL_008_Qs_Lot_1[Weighting], MATCH(1, (J87=TBL_008_Qs_Lot_1[Q.])*("Question"=TBL_008_Qs_Lot_1[Type]),0)), INDEX(#REF!, MATCH(1, (J87=#REF!)*("Question"=#REF!),0))))</f>
        <v>#REF!</v>
      </c>
      <c r="M87" s="429" t="e">
        <f t="shared" si="9"/>
        <v>#REF!</v>
      </c>
      <c r="P87" s="432"/>
      <c r="Q87" s="433"/>
      <c r="R87" s="433"/>
      <c r="S87" s="434"/>
      <c r="T87" s="284" t="str">
        <f>IF(OR('Project Info'!$B$18="Open Procedure", 'Project Info'!$B$20="SQ"), IF(AND(Lotted?="Yes", No_Lots?&gt;=5), IF(Doc_Lot="All", IF(SQ_Same_Qs?="Yes", "Shade", ""), "Shade"), "Shade"), "Shade")</f>
        <v>Shade</v>
      </c>
      <c r="U87" s="284" t="str">
        <f>IF(OR('Project Info'!$B$20="SQ", Price_split=100), "Shade", IF(AND(Lotted?="Yes", No_Lots?&gt;=5), IF(Doc_Lot="All", IF(Tech_Same_Qs?="Yes", "Shade", ""), "Shade"), "Shade"))</f>
        <v>Shade</v>
      </c>
      <c r="V87" s="284" t="str">
        <f>IF(OR('Project Info'!$B$20="SQ", Price_split=100, Int_or_SV="Not applicable"), "Shade", IF(AND(Lotted?="Yes", No_Lots?&gt;=5), "", "Shade"))</f>
        <v>Shade</v>
      </c>
    </row>
    <row r="88" spans="1:22" ht="14">
      <c r="A88" s="284">
        <v>8</v>
      </c>
      <c r="B88" s="284">
        <v>10</v>
      </c>
      <c r="C88" s="284">
        <f t="array" ref="C88">IF(INDEX(TBL_003_DocMerge[PAS_or_SQ?], MATCH(1, (Job_No=TBL_003_DocMerge[Job_No])*(Doc_Lot=TBL_003_DocMerge[Lot]),0))="SQ", A88, B88)</f>
        <v>8</v>
      </c>
      <c r="D88" s="427" t="s">
        <v>708</v>
      </c>
      <c r="E88" s="428" t="str">
        <f t="array" ref="E88">IF(AND(INDEX(TBL_003_DocMerge[PAS_or_SQ?], MATCH(1, (Job_No=TBL_003_DocMerge[Job_No])*(Doc_Lot=TBL_003_DocMerge[Lot]),0))="SQ", D88="Q6.2"), "N/A", IF(OR(Lotted?="No", No_Lots?&lt;5),"N/A", IF(SQ_Same_Qs?="Yes", IF(SQ_Qs_Lot_1&gt;=$C88, INDEX(TBL_008_Qs_Lot_1[Max score], MATCH(1, (SUBSTITUTE($D88, "*", "")=TBL_008_Qs_Lot_1[Q.])*("Question"=TBL_008_Qs_Lot_1[Type]),0)), "N/A"), IF(SQ_Qs_Lot_5&gt;=$C88, INDEX(#REF!, MATCH(1, (SUBSTITUTE($D88, "*", "")=#REF!)*("Question"=#REF!),0)), "N/A"))))</f>
        <v>N/A</v>
      </c>
      <c r="F88" s="428" t="str">
        <f t="array" ref="F88">IF(OR(SQ_Weighted?="No", $E88="N/A", $E88=0),"N/A",IF(SQ_Same_Qs?="Yes", INDEX(TBL_008_Qs_Lot_1[Weighting],MATCH(1,(SUBSTITUTE($D88,"*","")=TBL_008_Qs_Lot_1[Q.])*("Question"=TBL_008_Qs_Lot_1[Type]),0)), INDEX(#REF!,MATCH(1,(SUBSTITUTE($D88,"*","")=#REF!)*("Question"=#REF!),0))))</f>
        <v>N/A</v>
      </c>
      <c r="G88" s="429" t="str">
        <f t="shared" si="8"/>
        <v>Question not used</v>
      </c>
      <c r="I88" s="424">
        <v>10</v>
      </c>
      <c r="J88" s="427" t="s">
        <v>1088</v>
      </c>
      <c r="K88" s="428" t="e">
        <f t="array" ref="K88">IF(OR(Lotted?="No", No_Lots?&lt;5), "N/A", IF(Tech_Same_Qs?="Yes", IF(Tech_Qs_Lot_1&gt;=I88, INDEX(TBL_008_Qs_Lot_1[Max score], MATCH(1, (J88=TBL_008_Qs_Lot_1[Q.])*("Question"=TBL_008_Qs_Lot_1[Type]),0)), "N/A"), IF(Tech_Qs_Lot_5&gt;=I88, INDEX(#REF!, MATCH(1, (J88=#REF!)*("Question"=#REF!),0)), "N/A")))</f>
        <v>#REF!</v>
      </c>
      <c r="L88" s="428" t="e">
        <f t="array" ref="L88">IF(OR(Tech_Weighted?="No", K88="N/A", K88=0), "N/A", IF(Tech_Same_Qs?="Yes", INDEX(TBL_008_Qs_Lot_1[Weighting], MATCH(1, (J88=TBL_008_Qs_Lot_1[Q.])*("Question"=TBL_008_Qs_Lot_1[Type]),0)), INDEX(#REF!, MATCH(1, (J88=#REF!)*("Question"=#REF!),0))))</f>
        <v>#REF!</v>
      </c>
      <c r="M88" s="429" t="e">
        <f t="shared" si="9"/>
        <v>#REF!</v>
      </c>
      <c r="P88" s="432"/>
      <c r="Q88" s="433"/>
      <c r="R88" s="433"/>
      <c r="S88" s="434"/>
      <c r="T88" s="284" t="str">
        <f>IF(OR('Project Info'!$B$18="Open Procedure", 'Project Info'!$B$20="SQ"), IF(AND(Lotted?="Yes", No_Lots?&gt;=5), IF(Doc_Lot="All", IF(SQ_Same_Qs?="Yes", "Shade", ""), "Shade"), "Shade"), "Shade")</f>
        <v>Shade</v>
      </c>
      <c r="U88" s="284" t="str">
        <f>IF(OR('Project Info'!$B$20="SQ", Price_split=100), "Shade", IF(AND(Lotted?="Yes", No_Lots?&gt;=5), IF(Doc_Lot="All", IF(Tech_Same_Qs?="Yes", "Shade", ""), "Shade"), "Shade"))</f>
        <v>Shade</v>
      </c>
      <c r="V88" s="284" t="str">
        <f>IF(OR('Project Info'!$B$20="SQ", Price_split=100, Int_or_SV="Not applicable"), "Shade", IF(AND(Lotted?="Yes", No_Lots?&gt;=5), "", "Shade"))</f>
        <v>Shade</v>
      </c>
    </row>
    <row r="89" spans="1:22" ht="14">
      <c r="A89" s="284">
        <v>9</v>
      </c>
      <c r="B89" s="284">
        <v>11</v>
      </c>
      <c r="C89" s="284">
        <f t="array" ref="C89">IF(INDEX(TBL_003_DocMerge[PAS_or_SQ?], MATCH(1, (Job_No=TBL_003_DocMerge[Job_No])*(Doc_Lot=TBL_003_DocMerge[Lot]),0))="SQ", A89, B89)</f>
        <v>9</v>
      </c>
      <c r="D89" s="427" t="s">
        <v>719</v>
      </c>
      <c r="E89" s="428" t="str">
        <f t="array" ref="E89">IF(AND(INDEX(TBL_003_DocMerge[PAS_or_SQ?], MATCH(1, (Job_No=TBL_003_DocMerge[Job_No])*(Doc_Lot=TBL_003_DocMerge[Lot]),0))="SQ", D89="Q6.2"), "N/A", IF(OR(Lotted?="No", No_Lots?&lt;5),"N/A", IF(SQ_Same_Qs?="Yes", IF(SQ_Qs_Lot_1&gt;=$C89, INDEX(TBL_008_Qs_Lot_1[Max score], MATCH(1, (SUBSTITUTE($D89, "*", "")=TBL_008_Qs_Lot_1[Q.])*("Question"=TBL_008_Qs_Lot_1[Type]),0)), "N/A"), IF(SQ_Qs_Lot_5&gt;=$C89, INDEX(#REF!, MATCH(1, (SUBSTITUTE($D89, "*", "")=#REF!)*("Question"=#REF!),0)), "N/A"))))</f>
        <v>N/A</v>
      </c>
      <c r="F89" s="428" t="str">
        <f t="array" ref="F89">IF(OR(SQ_Weighted?="No", $E89="N/A", $E89=0),"N/A",IF(SQ_Same_Qs?="Yes", INDEX(TBL_008_Qs_Lot_1[Weighting],MATCH(1,(SUBSTITUTE($D89,"*","")=TBL_008_Qs_Lot_1[Q.])*("Question"=TBL_008_Qs_Lot_1[Type]),0)), INDEX(#REF!,MATCH(1,(SUBSTITUTE($D89,"*","")=#REF!)*("Question"=#REF!),0))))</f>
        <v>N/A</v>
      </c>
      <c r="G89" s="429" t="str">
        <f t="shared" si="8"/>
        <v>Question not used</v>
      </c>
      <c r="J89" s="327" t="str">
        <f>IF(Tech_Weighted?="Yes", "", "Total:")</f>
        <v>Total:</v>
      </c>
      <c r="K89" s="431" t="e">
        <f>IF(Tech_Weighted?="Yes", "Total:", SUM(K79:K88))</f>
        <v>#REF!</v>
      </c>
      <c r="L89" s="324" t="e">
        <f>IF(No_Lots?&gt;=2, IF(SUM(L79:L88)=Tech_Weighting, SUM(L79:L88), "Error!"), "N/A")</f>
        <v>#REF!</v>
      </c>
      <c r="M89" s="325" t="s">
        <v>868</v>
      </c>
      <c r="Q89" s="424"/>
      <c r="R89" s="424"/>
      <c r="S89" s="424"/>
      <c r="T89" s="284" t="str">
        <f>IF(OR('Project Info'!$B$18="Open Procedure", 'Project Info'!$B$20="SQ"), IF(AND(Lotted?="Yes", No_Lots?&gt;=5), IF(Doc_Lot="All", IF(SQ_Same_Qs?="Yes", "Shade", ""), "Shade"), "Shade"), "Shade")</f>
        <v>Shade</v>
      </c>
      <c r="U89" s="284" t="str">
        <f>IF(OR('Project Info'!$B$20="SQ", Price_split=100), "Shade", IF(AND(Lotted?="Yes", No_Lots?&gt;=5), IF(Doc_Lot="All", IF(Tech_Same_Qs?="Yes", "Shade", ""), "Shade"), "Shade"))</f>
        <v>Shade</v>
      </c>
      <c r="V89" s="284" t="str">
        <f>IF(OR('Project Info'!$B$20="SQ", Price_split=100, Int_or_SV="Not applicable"), "Shade", IF(AND(Lotted?="Yes", No_Lots?&gt;=5), "", "Shade"))</f>
        <v>Shade</v>
      </c>
    </row>
    <row r="90" spans="1:22" ht="14">
      <c r="A90" s="284">
        <v>10</v>
      </c>
      <c r="B90" s="284">
        <v>12</v>
      </c>
      <c r="C90" s="284">
        <f t="array" ref="C90">IF(INDEX(TBL_003_DocMerge[PAS_or_SQ?], MATCH(1, (Job_No=TBL_003_DocMerge[Job_No])*(Doc_Lot=TBL_003_DocMerge[Lot]),0))="SQ", A90, B90)</f>
        <v>10</v>
      </c>
      <c r="D90" s="427" t="s">
        <v>730</v>
      </c>
      <c r="E90" s="428" t="str">
        <f t="array" ref="E90">IF(AND(INDEX(TBL_003_DocMerge[PAS_or_SQ?], MATCH(1, (Job_No=TBL_003_DocMerge[Job_No])*(Doc_Lot=TBL_003_DocMerge[Lot]),0))="SQ", D90="Q6.2"), "N/A", IF(OR(Lotted?="No", No_Lots?&lt;5),"N/A", IF(SQ_Same_Qs?="Yes", IF(SQ_Qs_Lot_1&gt;=$C90, INDEX(TBL_008_Qs_Lot_1[Max score], MATCH(1, (SUBSTITUTE($D90, "*", "")=TBL_008_Qs_Lot_1[Q.])*("Question"=TBL_008_Qs_Lot_1[Type]),0)), "N/A"), IF(SQ_Qs_Lot_5&gt;=$C90, INDEX(#REF!, MATCH(1, (SUBSTITUTE($D90, "*", "")=#REF!)*("Question"=#REF!),0)), "N/A"))))</f>
        <v>N/A</v>
      </c>
      <c r="F90" s="428" t="str">
        <f t="array" ref="F90">IF(OR(SQ_Weighted?="No", $E90="N/A", $E90=0),"N/A",IF(SQ_Same_Qs?="Yes", INDEX(TBL_008_Qs_Lot_1[Weighting],MATCH(1,(SUBSTITUTE($D90,"*","")=TBL_008_Qs_Lot_1[Q.])*("Question"=TBL_008_Qs_Lot_1[Type]),0)), INDEX(#REF!,MATCH(1,(SUBSTITUTE($D90,"*","")=#REF!)*("Question"=#REF!),0))))</f>
        <v>N/A</v>
      </c>
      <c r="G90" s="429" t="str">
        <f t="shared" si="8"/>
        <v>Question not used</v>
      </c>
      <c r="T90" s="284" t="str">
        <f>IF(OR('Project Info'!$B$18="Open Procedure", 'Project Info'!$B$20="SQ"), IF(AND(Lotted?="Yes", No_Lots?&gt;=5), IF(Doc_Lot="All", IF(SQ_Same_Qs?="Yes", "Shade", ""), "Shade"), "Shade"), "Shade")</f>
        <v>Shade</v>
      </c>
      <c r="U90" s="284" t="str">
        <f>IF(OR('Project Info'!$B$20="SQ", Price_split=100), "Shade", IF(AND(Lotted?="Yes", No_Lots?&gt;=5), IF(Doc_Lot="All", IF(Tech_Same_Qs?="Yes", "Shade", ""), "Shade"), "Shade"))</f>
        <v>Shade</v>
      </c>
      <c r="V90" s="284" t="str">
        <f>IF(OR('Project Info'!$B$20="SQ", Price_split=100, Int_or_SV="Not applicable"), "Shade", IF(AND(Lotted?="Yes", No_Lots?&gt;=5), "", "Shade"))</f>
        <v>Shade</v>
      </c>
    </row>
    <row r="91" spans="1:22" ht="14">
      <c r="A91" s="284">
        <v>11</v>
      </c>
      <c r="B91" s="284">
        <v>13</v>
      </c>
      <c r="C91" s="284">
        <f t="array" ref="C91">IF(INDEX(TBL_003_DocMerge[PAS_or_SQ?], MATCH(1, (Job_No=TBL_003_DocMerge[Job_No])*(Doc_Lot=TBL_003_DocMerge[Lot]),0))="SQ", A91, B91)</f>
        <v>11</v>
      </c>
      <c r="D91" s="427" t="s">
        <v>741</v>
      </c>
      <c r="E91" s="428" t="str">
        <f t="array" ref="E91">IF(AND(INDEX(TBL_003_DocMerge[PAS_or_SQ?], MATCH(1, (Job_No=TBL_003_DocMerge[Job_No])*(Doc_Lot=TBL_003_DocMerge[Lot]),0))="SQ", D91="Q6.2"), "N/A", IF(OR(Lotted?="No", No_Lots?&lt;5),"N/A", IF(SQ_Same_Qs?="Yes", IF(SQ_Qs_Lot_1&gt;=$C91, INDEX(TBL_008_Qs_Lot_1[Max score], MATCH(1, (SUBSTITUTE($D91, "*", "")=TBL_008_Qs_Lot_1[Q.])*("Question"=TBL_008_Qs_Lot_1[Type]),0)), "N/A"), IF(SQ_Qs_Lot_5&gt;=$C91, INDEX(#REF!, MATCH(1, (SUBSTITUTE($D91, "*", "")=#REF!)*("Question"=#REF!),0)), "N/A"))))</f>
        <v>N/A</v>
      </c>
      <c r="F91" s="428" t="str">
        <f t="array" ref="F91">IF(OR(SQ_Weighted?="No", $E91="N/A", $E91=0),"N/A",IF(SQ_Same_Qs?="Yes", INDEX(TBL_008_Qs_Lot_1[Weighting],MATCH(1,(SUBSTITUTE($D91,"*","")=TBL_008_Qs_Lot_1[Q.])*("Question"=TBL_008_Qs_Lot_1[Type]),0)), INDEX(#REF!,MATCH(1,(SUBSTITUTE($D91,"*","")=#REF!)*("Question"=#REF!),0))))</f>
        <v>N/A</v>
      </c>
      <c r="G91" s="429" t="str">
        <f t="shared" si="8"/>
        <v>Question not used</v>
      </c>
      <c r="T91" s="284" t="str">
        <f>IF(OR('Project Info'!$B$18="Open Procedure", 'Project Info'!$B$20="SQ"), IF(AND(Lotted?="Yes", No_Lots?&gt;=5), IF(Doc_Lot="All", IF(SQ_Same_Qs?="Yes", "Shade", ""), "Shade"), "Shade"), "Shade")</f>
        <v>Shade</v>
      </c>
      <c r="U91" s="284" t="str">
        <f>IF(OR('Project Info'!$B$20="SQ", Price_split=100), "Shade", IF(AND(Lotted?="Yes", No_Lots?&gt;=5), IF(Doc_Lot="All", IF(Tech_Same_Qs?="Yes", "Shade", ""), "Shade"), "Shade"))</f>
        <v>Shade</v>
      </c>
      <c r="V91" s="284" t="str">
        <f>IF(OR('Project Info'!$B$20="SQ", Price_split=100, Int_or_SV="Not applicable"), "Shade", IF(AND(Lotted?="Yes", No_Lots?&gt;=5), "", "Shade"))</f>
        <v>Shade</v>
      </c>
    </row>
    <row r="92" spans="1:22" ht="14">
      <c r="D92" s="327" t="str">
        <f>IF(SQ_Weighted?="Yes", "", "Total:")</f>
        <v>Total:</v>
      </c>
      <c r="E92" s="431">
        <f>IF(SQ_Weighted?="Yes", "Total:", SUM(E79:E91))</f>
        <v>20</v>
      </c>
      <c r="F92" s="324" t="str">
        <f>IF(SQ_Weighted?="Yes", IF(OR(Lotted?="No",No_Lots?&lt;5),"N/A", IF((SUM(F79:F91)-F81)=100, 100, "Error!")),"N/A")</f>
        <v>N/A</v>
      </c>
      <c r="G92" s="325" t="s">
        <v>868</v>
      </c>
      <c r="T92" s="284" t="str">
        <f>IF(OR('Project Info'!$B$18="Open Procedure", 'Project Info'!$B$20="SQ"), IF(AND(Lotted?="Yes", No_Lots?&gt;=5), IF(Doc_Lot="All", IF(SQ_Same_Qs?="Yes", "Shade", ""), "Shade"), "Shade"), "Shade")</f>
        <v>Shade</v>
      </c>
      <c r="U92" s="284" t="str">
        <f>IF(OR('Project Info'!$B$20="SQ", Price_split=100), "Shade", IF(AND(Lotted?="Yes", No_Lots?&gt;=5), IF(Doc_Lot="All", IF(Tech_Same_Qs?="Yes", "Shade", ""), "Shade"), "Shade"))</f>
        <v>Shade</v>
      </c>
      <c r="V92" s="284" t="str">
        <f>IF(OR('Project Info'!$B$20="SQ", Price_split=100, Int_or_SV="Not applicable"), "Shade", IF(AND(Lotted?="Yes", No_Lots?&gt;=5), "", "Shade"))</f>
        <v>Shade</v>
      </c>
    </row>
  </sheetData>
  <sheetProtection algorithmName="SHA-512" hashValue="VFY4tYmJ7+xDz4k0elxxNfyUwYDAuk3t4/1untN4zwP5KelzSNJvVz9Cfznl5ah0YUwn+iTYsmRkzBhr9vGykg==" saltValue="EtyEoppNKtUfFz4yvdXWjA==" spinCount="100000" sheet="1" objects="1" scenarios="1" formatRows="0"/>
  <protectedRanges>
    <protectedRange sqref="K43:M52 K61:M70 K79:M88 Q79:S83 Q43:S47 Q85:S88 Q61:S65 Q13:S16 Q31:S34 Q49:S52 Q67:S70 K7:M16 K25:M34 Q7:S11 Q25:S29" name="Range1"/>
  </protectedRanges>
  <mergeCells count="3">
    <mergeCell ref="D3:G3"/>
    <mergeCell ref="J3:M3"/>
    <mergeCell ref="P3:S3"/>
  </mergeCells>
  <conditionalFormatting sqref="J1:M1048576">
    <cfRule type="expression" dxfId="278" priority="2">
      <formula>INDIRECT("U"&amp;ROW())="Shade"</formula>
    </cfRule>
  </conditionalFormatting>
  <conditionalFormatting sqref="P1:S1048576">
    <cfRule type="expression" dxfId="277" priority="1">
      <formula>INDIRECT("V"&amp;ROW())="Shade"</formula>
    </cfRule>
  </conditionalFormatting>
  <conditionalFormatting sqref="D1:G1048576">
    <cfRule type="expression" dxfId="276" priority="3">
      <formula>INDIRECT("T"&amp;ROW())="Shade"</formula>
    </cfRule>
  </conditionalFormatting>
  <dataValidations disablePrompts="1" count="1">
    <dataValidation type="decimal" operator="greaterThan" allowBlank="1" showInputMessage="1" showErrorMessage="1" sqref="S43:S52 S79:S88 S61:S70 S25:S34" xr:uid="{73F0CFB7-E706-4173-833D-3A64ECB8AE30}">
      <formula1>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42E5-D9AB-47F7-AD41-F747818F7841}">
  <sheetPr codeName="Sheet40"/>
  <dimension ref="A1:F75"/>
  <sheetViews>
    <sheetView topLeftCell="F1" workbookViewId="0">
      <selection activeCell="E1" sqref="A1:E1048576"/>
    </sheetView>
  </sheetViews>
  <sheetFormatPr baseColWidth="10" defaultColWidth="8.6640625" defaultRowHeight="13"/>
  <cols>
    <col min="1" max="1" width="7.33203125" style="284" hidden="1" customWidth="1"/>
    <col min="2" max="2" width="41.83203125" style="284" hidden="1" customWidth="1"/>
    <col min="3" max="3" width="15" style="285" hidden="1" customWidth="1"/>
    <col min="4" max="4" width="34.1640625" style="284" hidden="1" customWidth="1"/>
    <col min="5" max="5" width="8.6640625" style="284" hidden="1" customWidth="1"/>
    <col min="6" max="6" width="8.6640625" style="284" customWidth="1"/>
    <col min="7" max="16384" width="8.6640625" style="284"/>
  </cols>
  <sheetData>
    <row r="1" spans="1:6" ht="16">
      <c r="A1" s="240" t="s">
        <v>959</v>
      </c>
    </row>
    <row r="3" spans="1:6" ht="14">
      <c r="A3" s="319" t="str">
        <f t="array" ref="A3">IF(Lotted?="Yes", IF(Doc_Lot="All", "Lot 1:", CONCATENATE(SUBSTITUTE(Doc_Lot, "_", " "), ":")), "")</f>
        <v>Lot 1:</v>
      </c>
      <c r="B3" s="319" t="str">
        <f t="array" ref="B3">IF(Lotted?="Yes", IF(Doc_Lot="All", TBL_003_DocMerge[Lot_1_Name], INDEX(TBL_003_DocMerge[Lot_1_Name], MATCH(1,(Doc_Lot=TBL_003_DocMerge[Lot])*(Job_No=TBL_003_DocMerge[Job_No]),0))), "[Remove this row]")</f>
        <v>General Builder</v>
      </c>
      <c r="C3" s="320"/>
      <c r="D3" s="331" t="s">
        <v>960</v>
      </c>
    </row>
    <row r="4" spans="1:6" ht="28">
      <c r="A4" s="321" t="s">
        <v>102</v>
      </c>
      <c r="B4" s="321" t="s">
        <v>103</v>
      </c>
      <c r="C4" s="322" t="s">
        <v>961</v>
      </c>
      <c r="D4" s="332" t="s">
        <v>962</v>
      </c>
    </row>
    <row r="5" spans="1:6">
      <c r="A5" s="333">
        <v>1</v>
      </c>
      <c r="B5" s="334"/>
      <c r="C5" s="335"/>
      <c r="D5" s="336"/>
      <c r="E5" s="284" t="str">
        <f>IF(B5&lt;&gt;"", IF(C5&lt;&gt;"", "", "Add"), "")</f>
        <v/>
      </c>
      <c r="F5" s="284" t="str">
        <f>IF(B5&lt;&gt;"", IF(D5&lt;&gt;"", "", "Add"), "")</f>
        <v/>
      </c>
    </row>
    <row r="6" spans="1:6">
      <c r="A6" s="333">
        <v>2</v>
      </c>
      <c r="B6" s="337"/>
      <c r="C6" s="335"/>
      <c r="D6" s="336"/>
      <c r="E6" s="284" t="str">
        <f t="shared" ref="E6:E14" si="0">IF(B6&lt;&gt;"", IF(C6&lt;&gt;"", "", "Add"), "")</f>
        <v/>
      </c>
      <c r="F6" s="284" t="str">
        <f t="shared" ref="F6:F14" si="1">IF(B6&lt;&gt;"", IF(D6&lt;&gt;"", "", "Add"), "")</f>
        <v/>
      </c>
    </row>
    <row r="7" spans="1:6">
      <c r="A7" s="333">
        <v>3</v>
      </c>
      <c r="B7" s="337"/>
      <c r="C7" s="335"/>
      <c r="D7" s="336"/>
      <c r="E7" s="284" t="str">
        <f t="shared" si="0"/>
        <v/>
      </c>
      <c r="F7" s="284" t="str">
        <f t="shared" si="1"/>
        <v/>
      </c>
    </row>
    <row r="8" spans="1:6">
      <c r="A8" s="333">
        <v>4</v>
      </c>
      <c r="B8" s="337"/>
      <c r="C8" s="335"/>
      <c r="D8" s="336"/>
      <c r="E8" s="284" t="str">
        <f t="shared" si="0"/>
        <v/>
      </c>
      <c r="F8" s="284" t="str">
        <f t="shared" si="1"/>
        <v/>
      </c>
    </row>
    <row r="9" spans="1:6">
      <c r="A9" s="333">
        <v>5</v>
      </c>
      <c r="B9" s="337"/>
      <c r="C9" s="335"/>
      <c r="D9" s="336"/>
      <c r="E9" s="284" t="str">
        <f t="shared" si="0"/>
        <v/>
      </c>
      <c r="F9" s="284" t="str">
        <f t="shared" si="1"/>
        <v/>
      </c>
    </row>
    <row r="10" spans="1:6">
      <c r="A10" s="333">
        <v>6</v>
      </c>
      <c r="B10" s="337"/>
      <c r="C10" s="335"/>
      <c r="D10" s="336"/>
      <c r="E10" s="284" t="str">
        <f t="shared" si="0"/>
        <v/>
      </c>
      <c r="F10" s="284" t="str">
        <f t="shared" si="1"/>
        <v/>
      </c>
    </row>
    <row r="11" spans="1:6">
      <c r="A11" s="333">
        <v>7</v>
      </c>
      <c r="B11" s="337"/>
      <c r="C11" s="335"/>
      <c r="D11" s="336"/>
      <c r="E11" s="284" t="str">
        <f t="shared" si="0"/>
        <v/>
      </c>
      <c r="F11" s="284" t="str">
        <f t="shared" si="1"/>
        <v/>
      </c>
    </row>
    <row r="12" spans="1:6">
      <c r="A12" s="333">
        <v>8</v>
      </c>
      <c r="B12" s="337"/>
      <c r="C12" s="335"/>
      <c r="D12" s="336"/>
      <c r="E12" s="284" t="str">
        <f t="shared" si="0"/>
        <v/>
      </c>
      <c r="F12" s="284" t="str">
        <f t="shared" si="1"/>
        <v/>
      </c>
    </row>
    <row r="13" spans="1:6">
      <c r="A13" s="333">
        <v>9</v>
      </c>
      <c r="B13" s="337"/>
      <c r="C13" s="335"/>
      <c r="D13" s="336"/>
      <c r="E13" s="284" t="str">
        <f t="shared" si="0"/>
        <v/>
      </c>
      <c r="F13" s="284" t="str">
        <f t="shared" si="1"/>
        <v/>
      </c>
    </row>
    <row r="14" spans="1:6">
      <c r="A14" s="333">
        <v>10</v>
      </c>
      <c r="B14" s="337"/>
      <c r="C14" s="335"/>
      <c r="D14" s="336"/>
      <c r="E14" s="284" t="str">
        <f t="shared" si="0"/>
        <v/>
      </c>
      <c r="F14" s="284" t="str">
        <f t="shared" si="1"/>
        <v/>
      </c>
    </row>
    <row r="15" spans="1:6" ht="25" customHeight="1">
      <c r="A15" s="327"/>
      <c r="B15" s="328" t="s">
        <v>867</v>
      </c>
      <c r="C15" s="324">
        <f>IF(SUM(C5:C14)=Price_split, SUM(C5:C14), "Error!")</f>
        <v>0</v>
      </c>
      <c r="D15" s="336"/>
    </row>
    <row r="18" spans="1:6" ht="14">
      <c r="A18" s="319" t="str">
        <f>IF(AND(Lotted?="Yes", No_Lots?&gt;=2), "Lot 2:", "")</f>
        <v>Lot 2:</v>
      </c>
      <c r="B18" s="319" t="e">
        <f>IF(AND(Lotted?="Yes", No_Lots?&gt;=2), TBL_003_DocMerge[Lot_2_Name], "Ignore this table")</f>
        <v>#VALUE!</v>
      </c>
      <c r="C18" s="320"/>
      <c r="D18" s="331" t="s">
        <v>960</v>
      </c>
      <c r="E18" s="284" t="str">
        <f t="shared" ref="E18:E30" si="2">IF(AND(Lotted?="Yes", No_Lots?&gt;=2), IF(Doc_Lot="All", "", "Shade"), "Shade")</f>
        <v/>
      </c>
    </row>
    <row r="19" spans="1:6" ht="28">
      <c r="A19" s="321" t="s">
        <v>102</v>
      </c>
      <c r="B19" s="321" t="s">
        <v>103</v>
      </c>
      <c r="C19" s="322" t="s">
        <v>961</v>
      </c>
      <c r="D19" s="332" t="s">
        <v>962</v>
      </c>
      <c r="E19" s="284" t="str">
        <f t="shared" si="2"/>
        <v/>
      </c>
    </row>
    <row r="20" spans="1:6">
      <c r="A20" s="326">
        <v>1</v>
      </c>
      <c r="B20" s="337"/>
      <c r="C20" s="335"/>
      <c r="D20" s="336"/>
      <c r="E20" s="284" t="str">
        <f t="shared" si="2"/>
        <v/>
      </c>
      <c r="F20" s="284" t="str">
        <f>IF(B20&lt;&gt;"", IF(D20&lt;&gt;"", "", "Add"), "")</f>
        <v/>
      </c>
    </row>
    <row r="21" spans="1:6">
      <c r="A21" s="326">
        <v>2</v>
      </c>
      <c r="B21" s="337"/>
      <c r="C21" s="335"/>
      <c r="D21" s="336"/>
      <c r="E21" s="284" t="str">
        <f t="shared" si="2"/>
        <v/>
      </c>
      <c r="F21" s="284" t="str">
        <f t="shared" ref="F21:F29" si="3">IF(B21&lt;&gt;"", IF(D21&lt;&gt;"", "", "Add"), "")</f>
        <v/>
      </c>
    </row>
    <row r="22" spans="1:6">
      <c r="A22" s="326">
        <v>3</v>
      </c>
      <c r="B22" s="337"/>
      <c r="C22" s="335"/>
      <c r="D22" s="336"/>
      <c r="E22" s="284" t="str">
        <f t="shared" si="2"/>
        <v/>
      </c>
      <c r="F22" s="284" t="str">
        <f t="shared" si="3"/>
        <v/>
      </c>
    </row>
    <row r="23" spans="1:6">
      <c r="A23" s="326">
        <v>4</v>
      </c>
      <c r="B23" s="337"/>
      <c r="C23" s="335"/>
      <c r="D23" s="336"/>
      <c r="E23" s="284" t="str">
        <f t="shared" si="2"/>
        <v/>
      </c>
      <c r="F23" s="284" t="str">
        <f t="shared" si="3"/>
        <v/>
      </c>
    </row>
    <row r="24" spans="1:6">
      <c r="A24" s="326">
        <v>5</v>
      </c>
      <c r="B24" s="337"/>
      <c r="C24" s="335"/>
      <c r="D24" s="336"/>
      <c r="E24" s="284" t="str">
        <f t="shared" si="2"/>
        <v/>
      </c>
      <c r="F24" s="284" t="str">
        <f t="shared" si="3"/>
        <v/>
      </c>
    </row>
    <row r="25" spans="1:6">
      <c r="A25" s="326">
        <v>6</v>
      </c>
      <c r="B25" s="337"/>
      <c r="C25" s="335"/>
      <c r="D25" s="336"/>
      <c r="E25" s="284" t="str">
        <f t="shared" si="2"/>
        <v/>
      </c>
      <c r="F25" s="284" t="str">
        <f t="shared" si="3"/>
        <v/>
      </c>
    </row>
    <row r="26" spans="1:6">
      <c r="A26" s="326">
        <v>7</v>
      </c>
      <c r="B26" s="337"/>
      <c r="C26" s="335"/>
      <c r="D26" s="336"/>
      <c r="E26" s="284" t="str">
        <f t="shared" si="2"/>
        <v/>
      </c>
      <c r="F26" s="284" t="str">
        <f t="shared" si="3"/>
        <v/>
      </c>
    </row>
    <row r="27" spans="1:6">
      <c r="A27" s="326">
        <v>8</v>
      </c>
      <c r="B27" s="337"/>
      <c r="C27" s="335"/>
      <c r="D27" s="336"/>
      <c r="E27" s="284" t="str">
        <f t="shared" si="2"/>
        <v/>
      </c>
      <c r="F27" s="284" t="str">
        <f t="shared" si="3"/>
        <v/>
      </c>
    </row>
    <row r="28" spans="1:6">
      <c r="A28" s="326">
        <v>9</v>
      </c>
      <c r="B28" s="337"/>
      <c r="C28" s="335"/>
      <c r="D28" s="336"/>
      <c r="E28" s="284" t="str">
        <f t="shared" si="2"/>
        <v/>
      </c>
      <c r="F28" s="284" t="str">
        <f t="shared" si="3"/>
        <v/>
      </c>
    </row>
    <row r="29" spans="1:6">
      <c r="A29" s="326">
        <v>10</v>
      </c>
      <c r="B29" s="337"/>
      <c r="C29" s="335"/>
      <c r="D29" s="336"/>
      <c r="E29" s="284" t="str">
        <f t="shared" si="2"/>
        <v/>
      </c>
      <c r="F29" s="284" t="str">
        <f t="shared" si="3"/>
        <v/>
      </c>
    </row>
    <row r="30" spans="1:6" ht="25" customHeight="1">
      <c r="A30" s="327"/>
      <c r="B30" s="328" t="s">
        <v>867</v>
      </c>
      <c r="C30" s="324">
        <f>IF(SUM(C20:C29)=Price_split, SUM(C20:C29), "Error!")</f>
        <v>0</v>
      </c>
      <c r="D30" s="336"/>
      <c r="E30" s="284" t="str">
        <f t="shared" si="2"/>
        <v/>
      </c>
    </row>
    <row r="33" spans="1:6" ht="14">
      <c r="A33" s="319" t="str">
        <f>IF(AND(Lotted?="Yes", No_Lots?&gt;=3), "Lot 3:", "")</f>
        <v>Lot 3:</v>
      </c>
      <c r="B33" s="319" t="e">
        <f>IF(AND(Lotted?="Yes", No_Lots?&gt;=3), TBL_003_DocMerge[Lot_3_Name], "Ignore this table")</f>
        <v>#VALUE!</v>
      </c>
      <c r="C33" s="320"/>
      <c r="D33" s="331" t="s">
        <v>960</v>
      </c>
      <c r="E33" s="284" t="str">
        <f t="shared" ref="E33:E45" si="4">IF(AND(Lotted?="Yes", No_Lots?&gt;=3), IF(Doc_Lot="All", "", "Shade"), "Shade")</f>
        <v/>
      </c>
    </row>
    <row r="34" spans="1:6" ht="28">
      <c r="A34" s="321" t="s">
        <v>102</v>
      </c>
      <c r="B34" s="321" t="s">
        <v>103</v>
      </c>
      <c r="C34" s="322" t="s">
        <v>961</v>
      </c>
      <c r="D34" s="332" t="s">
        <v>962</v>
      </c>
      <c r="E34" s="284" t="str">
        <f t="shared" si="4"/>
        <v/>
      </c>
    </row>
    <row r="35" spans="1:6">
      <c r="A35" s="326">
        <v>1</v>
      </c>
      <c r="B35" s="337"/>
      <c r="C35" s="335"/>
      <c r="D35" s="336"/>
      <c r="E35" s="284" t="str">
        <f t="shared" si="4"/>
        <v/>
      </c>
      <c r="F35" s="284" t="str">
        <f>IF(B35&lt;&gt;"", IF(D35&lt;&gt;"", "", "Add"), "")</f>
        <v/>
      </c>
    </row>
    <row r="36" spans="1:6">
      <c r="A36" s="326">
        <v>2</v>
      </c>
      <c r="B36" s="337"/>
      <c r="C36" s="335"/>
      <c r="D36" s="336"/>
      <c r="E36" s="284" t="str">
        <f t="shared" si="4"/>
        <v/>
      </c>
      <c r="F36" s="284" t="str">
        <f t="shared" ref="F36:F44" si="5">IF(B36&lt;&gt;"", IF(D36&lt;&gt;"", "", "Add"), "")</f>
        <v/>
      </c>
    </row>
    <row r="37" spans="1:6">
      <c r="A37" s="326">
        <v>3</v>
      </c>
      <c r="B37" s="337"/>
      <c r="C37" s="335"/>
      <c r="D37" s="336"/>
      <c r="E37" s="284" t="str">
        <f t="shared" si="4"/>
        <v/>
      </c>
      <c r="F37" s="284" t="str">
        <f t="shared" si="5"/>
        <v/>
      </c>
    </row>
    <row r="38" spans="1:6">
      <c r="A38" s="326">
        <v>4</v>
      </c>
      <c r="B38" s="337"/>
      <c r="C38" s="335"/>
      <c r="D38" s="336"/>
      <c r="E38" s="284" t="str">
        <f t="shared" si="4"/>
        <v/>
      </c>
      <c r="F38" s="284" t="str">
        <f t="shared" si="5"/>
        <v/>
      </c>
    </row>
    <row r="39" spans="1:6">
      <c r="A39" s="326">
        <v>5</v>
      </c>
      <c r="B39" s="337"/>
      <c r="C39" s="335"/>
      <c r="D39" s="336"/>
      <c r="E39" s="284" t="str">
        <f t="shared" si="4"/>
        <v/>
      </c>
      <c r="F39" s="284" t="str">
        <f t="shared" si="5"/>
        <v/>
      </c>
    </row>
    <row r="40" spans="1:6">
      <c r="A40" s="326">
        <v>6</v>
      </c>
      <c r="B40" s="337"/>
      <c r="C40" s="335"/>
      <c r="D40" s="336"/>
      <c r="E40" s="284" t="str">
        <f t="shared" si="4"/>
        <v/>
      </c>
      <c r="F40" s="284" t="str">
        <f t="shared" si="5"/>
        <v/>
      </c>
    </row>
    <row r="41" spans="1:6">
      <c r="A41" s="326">
        <v>7</v>
      </c>
      <c r="B41" s="337"/>
      <c r="C41" s="335"/>
      <c r="D41" s="336"/>
      <c r="E41" s="284" t="str">
        <f t="shared" si="4"/>
        <v/>
      </c>
      <c r="F41" s="284" t="str">
        <f t="shared" si="5"/>
        <v/>
      </c>
    </row>
    <row r="42" spans="1:6">
      <c r="A42" s="326">
        <v>8</v>
      </c>
      <c r="B42" s="337"/>
      <c r="C42" s="335"/>
      <c r="D42" s="336"/>
      <c r="E42" s="284" t="str">
        <f t="shared" si="4"/>
        <v/>
      </c>
      <c r="F42" s="284" t="str">
        <f t="shared" si="5"/>
        <v/>
      </c>
    </row>
    <row r="43" spans="1:6">
      <c r="A43" s="326">
        <v>9</v>
      </c>
      <c r="B43" s="337"/>
      <c r="C43" s="335"/>
      <c r="D43" s="336"/>
      <c r="E43" s="284" t="str">
        <f t="shared" si="4"/>
        <v/>
      </c>
      <c r="F43" s="284" t="str">
        <f t="shared" si="5"/>
        <v/>
      </c>
    </row>
    <row r="44" spans="1:6">
      <c r="A44" s="326">
        <v>10</v>
      </c>
      <c r="B44" s="337"/>
      <c r="C44" s="335"/>
      <c r="D44" s="336"/>
      <c r="E44" s="284" t="str">
        <f t="shared" si="4"/>
        <v/>
      </c>
      <c r="F44" s="284" t="str">
        <f t="shared" si="5"/>
        <v/>
      </c>
    </row>
    <row r="45" spans="1:6" ht="25" customHeight="1">
      <c r="A45" s="327"/>
      <c r="B45" s="328" t="s">
        <v>867</v>
      </c>
      <c r="C45" s="324">
        <f>IF(SUM(C35:C44)=Price_split, SUM(C35:C44), "Error!")</f>
        <v>0</v>
      </c>
      <c r="D45" s="336"/>
      <c r="E45" s="284" t="str">
        <f t="shared" si="4"/>
        <v/>
      </c>
    </row>
    <row r="48" spans="1:6" ht="14">
      <c r="A48" s="319" t="str">
        <f>IF(AND(Lotted?="Yes", No_Lots?&gt;=4), "Lot 4:", "")</f>
        <v>Lot 4:</v>
      </c>
      <c r="B48" s="319" t="e">
        <f>IF(AND(Lotted?="Yes", No_Lots?&gt;=4), TBL_003_DocMerge[Lot_4_Name], "Ignore this table")</f>
        <v>#VALUE!</v>
      </c>
      <c r="C48" s="320"/>
      <c r="D48" s="331" t="s">
        <v>960</v>
      </c>
      <c r="E48" s="284" t="str">
        <f t="shared" ref="E48:E60" si="6">IF(AND(Lotted?="Yes", No_Lots?&gt;=4), IF(Doc_Lot="All", "", "Shade"), "Shade")</f>
        <v/>
      </c>
    </row>
    <row r="49" spans="1:6" ht="28">
      <c r="A49" s="321" t="s">
        <v>102</v>
      </c>
      <c r="B49" s="321" t="s">
        <v>103</v>
      </c>
      <c r="C49" s="322" t="s">
        <v>961</v>
      </c>
      <c r="D49" s="332" t="s">
        <v>962</v>
      </c>
      <c r="E49" s="284" t="str">
        <f t="shared" si="6"/>
        <v/>
      </c>
    </row>
    <row r="50" spans="1:6">
      <c r="A50" s="326">
        <v>1</v>
      </c>
      <c r="B50" s="337"/>
      <c r="C50" s="335"/>
      <c r="D50" s="336"/>
      <c r="E50" s="284" t="str">
        <f t="shared" si="6"/>
        <v/>
      </c>
      <c r="F50" s="284" t="str">
        <f>IF(B50&lt;&gt;"", IF(D50&lt;&gt;"", "", "Add"), "")</f>
        <v/>
      </c>
    </row>
    <row r="51" spans="1:6">
      <c r="A51" s="326">
        <v>2</v>
      </c>
      <c r="B51" s="337"/>
      <c r="C51" s="335"/>
      <c r="D51" s="336"/>
      <c r="E51" s="284" t="str">
        <f t="shared" si="6"/>
        <v/>
      </c>
      <c r="F51" s="284" t="str">
        <f t="shared" ref="F51:F59" si="7">IF(B51&lt;&gt;"", IF(D51&lt;&gt;"", "", "Add"), "")</f>
        <v/>
      </c>
    </row>
    <row r="52" spans="1:6">
      <c r="A52" s="326">
        <v>3</v>
      </c>
      <c r="B52" s="337"/>
      <c r="C52" s="335"/>
      <c r="D52" s="336"/>
      <c r="E52" s="284" t="str">
        <f t="shared" si="6"/>
        <v/>
      </c>
      <c r="F52" s="284" t="str">
        <f t="shared" si="7"/>
        <v/>
      </c>
    </row>
    <row r="53" spans="1:6">
      <c r="A53" s="326">
        <v>4</v>
      </c>
      <c r="B53" s="337"/>
      <c r="C53" s="335"/>
      <c r="D53" s="336"/>
      <c r="E53" s="284" t="str">
        <f t="shared" si="6"/>
        <v/>
      </c>
      <c r="F53" s="284" t="str">
        <f t="shared" si="7"/>
        <v/>
      </c>
    </row>
    <row r="54" spans="1:6">
      <c r="A54" s="326">
        <v>5</v>
      </c>
      <c r="B54" s="337"/>
      <c r="C54" s="335"/>
      <c r="D54" s="336"/>
      <c r="E54" s="284" t="str">
        <f t="shared" si="6"/>
        <v/>
      </c>
      <c r="F54" s="284" t="str">
        <f t="shared" si="7"/>
        <v/>
      </c>
    </row>
    <row r="55" spans="1:6">
      <c r="A55" s="326">
        <v>6</v>
      </c>
      <c r="B55" s="337"/>
      <c r="C55" s="335"/>
      <c r="D55" s="336"/>
      <c r="E55" s="284" t="str">
        <f t="shared" si="6"/>
        <v/>
      </c>
      <c r="F55" s="284" t="str">
        <f t="shared" si="7"/>
        <v/>
      </c>
    </row>
    <row r="56" spans="1:6">
      <c r="A56" s="326">
        <v>7</v>
      </c>
      <c r="B56" s="337"/>
      <c r="C56" s="335"/>
      <c r="D56" s="336"/>
      <c r="E56" s="284" t="str">
        <f t="shared" si="6"/>
        <v/>
      </c>
      <c r="F56" s="284" t="str">
        <f t="shared" si="7"/>
        <v/>
      </c>
    </row>
    <row r="57" spans="1:6">
      <c r="A57" s="326">
        <v>8</v>
      </c>
      <c r="B57" s="337"/>
      <c r="C57" s="335"/>
      <c r="D57" s="336"/>
      <c r="E57" s="284" t="str">
        <f t="shared" si="6"/>
        <v/>
      </c>
      <c r="F57" s="284" t="str">
        <f t="shared" si="7"/>
        <v/>
      </c>
    </row>
    <row r="58" spans="1:6">
      <c r="A58" s="326">
        <v>9</v>
      </c>
      <c r="B58" s="337"/>
      <c r="C58" s="335"/>
      <c r="D58" s="336"/>
      <c r="E58" s="284" t="str">
        <f t="shared" si="6"/>
        <v/>
      </c>
      <c r="F58" s="284" t="str">
        <f t="shared" si="7"/>
        <v/>
      </c>
    </row>
    <row r="59" spans="1:6">
      <c r="A59" s="326">
        <v>10</v>
      </c>
      <c r="B59" s="337"/>
      <c r="C59" s="335"/>
      <c r="D59" s="336"/>
      <c r="E59" s="284" t="str">
        <f t="shared" si="6"/>
        <v/>
      </c>
      <c r="F59" s="284" t="str">
        <f t="shared" si="7"/>
        <v/>
      </c>
    </row>
    <row r="60" spans="1:6" ht="25" customHeight="1">
      <c r="A60" s="327"/>
      <c r="B60" s="328" t="s">
        <v>867</v>
      </c>
      <c r="C60" s="324">
        <f>IF(SUM(C50:C59)=Price_split, SUM(C50:C59), "Error!")</f>
        <v>0</v>
      </c>
      <c r="D60" s="336"/>
      <c r="E60" s="284" t="str">
        <f t="shared" si="6"/>
        <v/>
      </c>
    </row>
    <row r="63" spans="1:6" ht="14">
      <c r="A63" s="319" t="str">
        <f>IF(AND(Lotted?="Yes", No_Lots?&gt;=5), "Lot 5:", "")</f>
        <v>Lot 5:</v>
      </c>
      <c r="B63" s="319" t="e">
        <f>IF(AND(Lotted?="Yes", No_Lots?&gt;=5), TBL_003_DocMerge[Lot_5_Name], "Ignore this table")</f>
        <v>#VALUE!</v>
      </c>
      <c r="C63" s="320"/>
      <c r="D63" s="331" t="s">
        <v>960</v>
      </c>
      <c r="E63" s="284" t="str">
        <f t="shared" ref="E63:E75" si="8">IF(AND(Lotted?="Yes", No_Lots?&gt;=5), IF(Doc_Lot="All", "", "Shade"), "Shade")</f>
        <v/>
      </c>
    </row>
    <row r="64" spans="1:6" ht="28">
      <c r="A64" s="321" t="s">
        <v>102</v>
      </c>
      <c r="B64" s="321" t="s">
        <v>103</v>
      </c>
      <c r="C64" s="322" t="s">
        <v>961</v>
      </c>
      <c r="D64" s="332" t="s">
        <v>962</v>
      </c>
      <c r="E64" s="284" t="str">
        <f t="shared" si="8"/>
        <v/>
      </c>
    </row>
    <row r="65" spans="1:6">
      <c r="A65" s="326">
        <v>1</v>
      </c>
      <c r="B65" s="337"/>
      <c r="C65" s="335"/>
      <c r="D65" s="336"/>
      <c r="E65" s="284" t="str">
        <f t="shared" si="8"/>
        <v/>
      </c>
      <c r="F65" s="284" t="str">
        <f>IF(B65&lt;&gt;"", IF(D65&lt;&gt;"", "", "Add"), "")</f>
        <v/>
      </c>
    </row>
    <row r="66" spans="1:6">
      <c r="A66" s="326">
        <v>2</v>
      </c>
      <c r="B66" s="337"/>
      <c r="C66" s="335"/>
      <c r="D66" s="336"/>
      <c r="E66" s="284" t="str">
        <f t="shared" si="8"/>
        <v/>
      </c>
      <c r="F66" s="284" t="str">
        <f t="shared" ref="F66:F74" si="9">IF(B66&lt;&gt;"", IF(D66&lt;&gt;"", "", "Add"), "")</f>
        <v/>
      </c>
    </row>
    <row r="67" spans="1:6">
      <c r="A67" s="326">
        <v>3</v>
      </c>
      <c r="B67" s="337"/>
      <c r="C67" s="335"/>
      <c r="D67" s="336"/>
      <c r="E67" s="284" t="str">
        <f t="shared" si="8"/>
        <v/>
      </c>
      <c r="F67" s="284" t="str">
        <f t="shared" si="9"/>
        <v/>
      </c>
    </row>
    <row r="68" spans="1:6">
      <c r="A68" s="326">
        <v>4</v>
      </c>
      <c r="B68" s="337"/>
      <c r="C68" s="335"/>
      <c r="D68" s="336"/>
      <c r="E68" s="284" t="str">
        <f t="shared" si="8"/>
        <v/>
      </c>
      <c r="F68" s="284" t="str">
        <f t="shared" si="9"/>
        <v/>
      </c>
    </row>
    <row r="69" spans="1:6">
      <c r="A69" s="326">
        <v>5</v>
      </c>
      <c r="B69" s="337"/>
      <c r="C69" s="335"/>
      <c r="D69" s="336"/>
      <c r="E69" s="284" t="str">
        <f t="shared" si="8"/>
        <v/>
      </c>
      <c r="F69" s="284" t="str">
        <f t="shared" si="9"/>
        <v/>
      </c>
    </row>
    <row r="70" spans="1:6">
      <c r="A70" s="326">
        <v>6</v>
      </c>
      <c r="B70" s="337"/>
      <c r="C70" s="335"/>
      <c r="D70" s="336"/>
      <c r="E70" s="284" t="str">
        <f t="shared" si="8"/>
        <v/>
      </c>
      <c r="F70" s="284" t="str">
        <f t="shared" si="9"/>
        <v/>
      </c>
    </row>
    <row r="71" spans="1:6">
      <c r="A71" s="326">
        <v>7</v>
      </c>
      <c r="B71" s="337"/>
      <c r="C71" s="335"/>
      <c r="D71" s="336"/>
      <c r="E71" s="284" t="str">
        <f t="shared" si="8"/>
        <v/>
      </c>
      <c r="F71" s="284" t="str">
        <f t="shared" si="9"/>
        <v/>
      </c>
    </row>
    <row r="72" spans="1:6">
      <c r="A72" s="326">
        <v>8</v>
      </c>
      <c r="B72" s="337"/>
      <c r="C72" s="335"/>
      <c r="D72" s="336"/>
      <c r="E72" s="284" t="str">
        <f t="shared" si="8"/>
        <v/>
      </c>
      <c r="F72" s="284" t="str">
        <f t="shared" si="9"/>
        <v/>
      </c>
    </row>
    <row r="73" spans="1:6">
      <c r="A73" s="326">
        <v>9</v>
      </c>
      <c r="B73" s="337"/>
      <c r="C73" s="335"/>
      <c r="D73" s="336"/>
      <c r="E73" s="284" t="str">
        <f t="shared" si="8"/>
        <v/>
      </c>
      <c r="F73" s="284" t="str">
        <f t="shared" si="9"/>
        <v/>
      </c>
    </row>
    <row r="74" spans="1:6">
      <c r="A74" s="326">
        <v>10</v>
      </c>
      <c r="B74" s="337"/>
      <c r="C74" s="335"/>
      <c r="D74" s="336"/>
      <c r="E74" s="284" t="str">
        <f t="shared" si="8"/>
        <v/>
      </c>
      <c r="F74" s="284" t="str">
        <f t="shared" si="9"/>
        <v/>
      </c>
    </row>
    <row r="75" spans="1:6" ht="25" customHeight="1">
      <c r="A75" s="327"/>
      <c r="B75" s="328" t="s">
        <v>867</v>
      </c>
      <c r="C75" s="324">
        <f>IF(SUM(C65:C74)=Price_split, SUM(C65:C74), "Error!")</f>
        <v>0</v>
      </c>
      <c r="D75" s="336"/>
      <c r="E75" s="284" t="str">
        <f t="shared" si="8"/>
        <v/>
      </c>
    </row>
  </sheetData>
  <sheetProtection algorithmName="SHA-512" hashValue="0r9+GIRvuqvF9Bzr3qDMjx1N8KZo3KkMM8Lc8PCSwyRD7f5kurgNhIn+dxs242/t5jif1TPP/OqyhxrWqF3ULQ==" saltValue="R7ST6CKOrp+50ZcfVn318g==" spinCount="100000" sheet="1" formatRows="0"/>
  <protectedRanges>
    <protectedRange sqref="B5:D14 B20:D29 B35:D44 B50:D59 B65:D74" name="Range1"/>
  </protectedRanges>
  <conditionalFormatting sqref="B5:B14 B20:B29 B35:B44 B50:B59 B65:B74">
    <cfRule type="containsBlanks" dxfId="275" priority="5">
      <formula>LEN(TRIM(B5))=0</formula>
    </cfRule>
  </conditionalFormatting>
  <conditionalFormatting sqref="A1:D1048576">
    <cfRule type="expression" dxfId="274" priority="2">
      <formula>INDIRECT("E"&amp;ROW())="Shade"</formula>
    </cfRule>
  </conditionalFormatting>
  <conditionalFormatting sqref="D1:D1048576">
    <cfRule type="expression" dxfId="273" priority="1">
      <formula>INDIRECT("F"&amp;ROW())="Add"</formula>
    </cfRule>
  </conditionalFormatting>
  <conditionalFormatting sqref="C1:C1048576">
    <cfRule type="expression" dxfId="272" priority="3">
      <formula>INDIRECT("E"&amp;ROW())="Add"</formula>
    </cfRule>
  </conditionalFormatting>
  <dataValidations disablePrompts="1" count="1">
    <dataValidation type="decimal" operator="greaterThan" allowBlank="1" showInputMessage="1" showErrorMessage="1" sqref="C5:C14 C20:C29 C35:C44 C50:C59 C65:C74" xr:uid="{BA111550-5C01-4717-88B2-19A57BD2A609}">
      <formula1>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3F3E-6F56-40A8-BF00-288D8C16C1F8}">
  <sheetPr codeName="Sheet42"/>
  <dimension ref="A1:H80"/>
  <sheetViews>
    <sheetView topLeftCell="F1" workbookViewId="0">
      <selection activeCell="E1" sqref="A1:E1048576"/>
    </sheetView>
  </sheetViews>
  <sheetFormatPr baseColWidth="10" defaultColWidth="8.6640625" defaultRowHeight="13"/>
  <cols>
    <col min="1" max="1" width="3.6640625" style="285" hidden="1" customWidth="1"/>
    <col min="2" max="2" width="8.33203125" style="284" hidden="1" customWidth="1"/>
    <col min="3" max="3" width="22" style="284" hidden="1" customWidth="1"/>
    <col min="4" max="4" width="10.1640625" style="284" hidden="1" customWidth="1"/>
    <col min="5" max="5" width="29.83203125" style="284" hidden="1" customWidth="1"/>
    <col min="6" max="6" width="8.6640625" style="284"/>
    <col min="7" max="8" width="8.6640625" style="284" hidden="1" customWidth="1"/>
    <col min="9" max="16384" width="8.6640625" style="284"/>
  </cols>
  <sheetData>
    <row r="1" spans="1:8" ht="16">
      <c r="A1" s="286" t="s">
        <v>963</v>
      </c>
      <c r="B1" s="240"/>
    </row>
    <row r="2" spans="1:8" ht="14" thickBot="1"/>
    <row r="3" spans="1:8" ht="15" thickBot="1">
      <c r="C3" s="287" t="str">
        <f t="array" ref="C3">IF(Lotted?="Yes", CONCATENATE(IF(Doc_Lot="All", "Lot 1", SUBSTITUTE(Doc_Lot, "_", " ")), ":  ", IF(Doc_Lot="All", TBL_003_DocMerge[Lot_1_Name], INDEX(TBL_003_DocMerge[Lot_1_Name], MATCH(1,(Doc_Lot=TBL_003_DocMerge[Lot])*(Job_No=TBL_003_DocMerge[Job_No]),0)))), "[Remove this row]")</f>
        <v>Lot 1:  General Builder</v>
      </c>
      <c r="D3" s="288"/>
      <c r="E3" s="289"/>
      <c r="F3" s="290"/>
      <c r="G3" s="284" t="str">
        <f>IF('Project Info'!$B$20="SQ", "Shade", "")</f>
        <v>Shade</v>
      </c>
    </row>
    <row r="4" spans="1:8" ht="29" thickBot="1">
      <c r="C4" s="291" t="s">
        <v>964</v>
      </c>
      <c r="D4" s="291" t="s">
        <v>965</v>
      </c>
      <c r="E4" s="291" t="s">
        <v>966</v>
      </c>
      <c r="F4" s="290"/>
      <c r="G4" s="284" t="str">
        <f>IF('Project Info'!$B$20="SQ", "Shade", "")</f>
        <v>Shade</v>
      </c>
    </row>
    <row r="5" spans="1:8" ht="27.5" customHeight="1" thickBot="1">
      <c r="A5" s="537" t="s">
        <v>958</v>
      </c>
      <c r="B5" s="540">
        <f>Tech_split</f>
        <v>0</v>
      </c>
      <c r="C5" s="307" t="str">
        <f>IF(Price_split=100, "[Remove row]", "Part 4 - Project Delivery questions")</f>
        <v>Part 4 - Project Delivery questions</v>
      </c>
      <c r="D5" s="293">
        <f>Tech_Weighting</f>
        <v>0</v>
      </c>
      <c r="E5" s="294" t="str">
        <f>IF(Tech_Weighted?="Yes", "Sum of the weighted questions", CONCATENATE("([Tenderer’s total mark for the questions] ÷ ", Tech_Points_Lot_1, ".00 ) x  ", D5, ".00"))</f>
        <v>([Tenderer’s total mark for the questions] ÷ 0.00 ) x  0.00</v>
      </c>
      <c r="F5" s="290"/>
      <c r="G5" s="284" t="str">
        <f>IF(OR('Project Info'!$B$20="SQ", Price_split=100), "Shade", "")</f>
        <v>Shade</v>
      </c>
      <c r="H5" s="295" t="str">
        <f>IF(AND(SUM(D5:D6)=B5, SUM(D5:D16)=100), "", "Error!")</f>
        <v>Error!</v>
      </c>
    </row>
    <row r="6" spans="1:8" ht="27.5" customHeight="1" thickBot="1">
      <c r="A6" s="543"/>
      <c r="B6" s="542"/>
      <c r="C6" s="292" t="str">
        <f>IF(Price_split=100,"[Remove row]",IF(Int_or_SV="Not applicable","[Remove row]",CONCATENATE("Part 5 - ",Int_or_SV," questions")))</f>
        <v>[Remove row]</v>
      </c>
      <c r="D6" s="293">
        <f>IntSV_Weighting</f>
        <v>0</v>
      </c>
      <c r="E6" s="294" t="str">
        <f>IF(Int_or_SV="Not applicable", "N/A", IF(IntSV_Weighted?="Yes", "Sum of the weighted questions", CONCATENATE("([Tenderer’s total mark for Questions] ÷ ", IntSV_Points_Lot_1, ".00 ) x  ", D6, ".00")))</f>
        <v>N/A</v>
      </c>
      <c r="F6" s="290"/>
      <c r="G6" s="284" t="str">
        <f>IF(OR('Project Info'!$B$20="SQ", Price_split=100), "Shade", "")</f>
        <v>Shade</v>
      </c>
      <c r="H6" s="295" t="str">
        <f>IF(AND(SUM(D5:D6)=B5, SUM(D5:D16)=100), "", "Error!")</f>
        <v>Error!</v>
      </c>
    </row>
    <row r="7" spans="1:8" ht="27.5" customHeight="1" thickBot="1">
      <c r="A7" s="537" t="s">
        <v>967</v>
      </c>
      <c r="B7" s="540">
        <f>Price_split</f>
        <v>0</v>
      </c>
      <c r="C7" s="292" t="str">
        <f>IF('Doc_Tables 2'!$B5&lt;&gt;"", 'Doc_Tables 2'!$D5, "Add info on 'Doc_Tables 1' tab")</f>
        <v>Add info on 'Doc_Tables 1' tab</v>
      </c>
      <c r="D7" s="293" t="str">
        <f>IF('Doc_Tables 2'!$B5&lt;&gt;"", 'Doc_Tables 2'!$C5, "N/A")</f>
        <v>N/A</v>
      </c>
      <c r="E7" s="294" t="str">
        <f>IF(D7="N/A", D7, CONCATENATE(D7, ".00  - [Tenderer's price - lowest price) ÷ lowest price] x ", D7, ".00"))</f>
        <v>N/A</v>
      </c>
      <c r="F7" s="290"/>
      <c r="G7" s="284" t="str">
        <f>IF('Project Info'!$B$20="SQ", "Shade", "")</f>
        <v>Shade</v>
      </c>
      <c r="H7" s="295" t="str">
        <f>IF(AND(SUM(D7:D16)=B7, SUM(D5:D16)=100), "", "Error!")</f>
        <v>Error!</v>
      </c>
    </row>
    <row r="8" spans="1:8" ht="27.5" customHeight="1" thickBot="1">
      <c r="A8" s="539"/>
      <c r="B8" s="541"/>
      <c r="C8" s="292" t="str">
        <f>IF('Doc_Tables 2'!$B6&lt;&gt;"", 'Doc_Tables 2'!$D6, "[Remove row]")</f>
        <v>[Remove row]</v>
      </c>
      <c r="D8" s="293" t="str">
        <f>IF('Doc_Tables 2'!$B6&lt;&gt;"", 'Doc_Tables 2'!$C6, "N/A")</f>
        <v>N/A</v>
      </c>
      <c r="E8" s="294" t="str">
        <f t="shared" ref="E8:E16" si="0">IF(D8="N/A", D8, CONCATENATE(D8, ".00  - [Tenderer's price - lowest price) ÷ lowest price] x ", D8, ".00"))</f>
        <v>N/A</v>
      </c>
      <c r="F8" s="290"/>
      <c r="G8" s="284" t="str">
        <f>IF('Project Info'!$B$20="SQ", "Shade", "")</f>
        <v>Shade</v>
      </c>
      <c r="H8" s="295" t="str">
        <f>IF(AND(SUM(D7:D16)=B7, SUM(D5:D16)=100), "", "Error!")</f>
        <v>Error!</v>
      </c>
    </row>
    <row r="9" spans="1:8" ht="27.5" customHeight="1" thickBot="1">
      <c r="A9" s="539"/>
      <c r="B9" s="541"/>
      <c r="C9" s="292" t="str">
        <f>IF('Doc_Tables 2'!$B7&lt;&gt;"", 'Doc_Tables 2'!$D7, "[Remove row]")</f>
        <v>[Remove row]</v>
      </c>
      <c r="D9" s="293" t="str">
        <f>IF('Doc_Tables 2'!$B7&lt;&gt;"", 'Doc_Tables 2'!$C7, "N/A")</f>
        <v>N/A</v>
      </c>
      <c r="E9" s="294" t="str">
        <f t="shared" si="0"/>
        <v>N/A</v>
      </c>
      <c r="F9" s="290"/>
      <c r="G9" s="284" t="str">
        <f>IF('Project Info'!$B$20="SQ", "Shade", "")</f>
        <v>Shade</v>
      </c>
      <c r="H9" s="295" t="str">
        <f>IF(AND(SUM(D7:D16)=B7, SUM(D5:D16)=100), "", "Error!")</f>
        <v>Error!</v>
      </c>
    </row>
    <row r="10" spans="1:8" ht="27.5" customHeight="1" thickBot="1">
      <c r="A10" s="539"/>
      <c r="B10" s="541"/>
      <c r="C10" s="292" t="str">
        <f>IF('Doc_Tables 2'!$B8&lt;&gt;"", 'Doc_Tables 2'!$D8, "[Remove row]")</f>
        <v>[Remove row]</v>
      </c>
      <c r="D10" s="293" t="str">
        <f>IF('Doc_Tables 2'!$B8&lt;&gt;"", 'Doc_Tables 2'!$C8, "N/A")</f>
        <v>N/A</v>
      </c>
      <c r="E10" s="294" t="str">
        <f t="shared" si="0"/>
        <v>N/A</v>
      </c>
      <c r="F10" s="290"/>
      <c r="G10" s="284" t="str">
        <f>IF('Project Info'!$B$20="SQ", "Shade", "")</f>
        <v>Shade</v>
      </c>
      <c r="H10" s="295" t="str">
        <f>IF(AND(SUM(D7:D16)=B7, SUM(D5:D16)=100), "", "Error!")</f>
        <v>Error!</v>
      </c>
    </row>
    <row r="11" spans="1:8" ht="27.5" customHeight="1" thickBot="1">
      <c r="A11" s="539"/>
      <c r="B11" s="541"/>
      <c r="C11" s="292" t="str">
        <f>IF('Doc_Tables 2'!$B9&lt;&gt;"", 'Doc_Tables 2'!$D9, "[Remove row]")</f>
        <v>[Remove row]</v>
      </c>
      <c r="D11" s="293" t="str">
        <f>IF('Doc_Tables 2'!$B9&lt;&gt;"", 'Doc_Tables 2'!$C9, "N/A")</f>
        <v>N/A</v>
      </c>
      <c r="E11" s="294" t="str">
        <f t="shared" si="0"/>
        <v>N/A</v>
      </c>
      <c r="F11" s="290"/>
      <c r="G11" s="284" t="str">
        <f>IF('Project Info'!$B$20="SQ", "Shade", "")</f>
        <v>Shade</v>
      </c>
      <c r="H11" s="295" t="str">
        <f>IF(AND(SUM(D7:D16)=B7, SUM(D5:D16)=100), "", "Error!")</f>
        <v>Error!</v>
      </c>
    </row>
    <row r="12" spans="1:8" ht="27.5" customHeight="1" thickBot="1">
      <c r="A12" s="539"/>
      <c r="B12" s="541"/>
      <c r="C12" s="292" t="str">
        <f>IF('Doc_Tables 2'!$B10&lt;&gt;"", 'Doc_Tables 2'!$D10, "[Remove row]")</f>
        <v>[Remove row]</v>
      </c>
      <c r="D12" s="293" t="str">
        <f>IF('Doc_Tables 2'!$B10&lt;&gt;"", 'Doc_Tables 2'!$C10, "N/A")</f>
        <v>N/A</v>
      </c>
      <c r="E12" s="294" t="str">
        <f t="shared" si="0"/>
        <v>N/A</v>
      </c>
      <c r="F12" s="290"/>
      <c r="G12" s="284" t="str">
        <f>IF('Project Info'!$B$20="SQ", "Shade", "")</f>
        <v>Shade</v>
      </c>
      <c r="H12" s="295" t="str">
        <f>IF(AND(SUM(D7:D16)=B7, SUM(D5:D16)=100), "", "Error!")</f>
        <v>Error!</v>
      </c>
    </row>
    <row r="13" spans="1:8" ht="27.5" customHeight="1" thickBot="1">
      <c r="A13" s="539"/>
      <c r="B13" s="541"/>
      <c r="C13" s="292" t="str">
        <f>IF('Doc_Tables 2'!$B11&lt;&gt;"", 'Doc_Tables 2'!$D11, "[Remove row]")</f>
        <v>[Remove row]</v>
      </c>
      <c r="D13" s="293" t="str">
        <f>IF('Doc_Tables 2'!$B11&lt;&gt;"", 'Doc_Tables 2'!$C11, "N/A")</f>
        <v>N/A</v>
      </c>
      <c r="E13" s="294" t="str">
        <f t="shared" si="0"/>
        <v>N/A</v>
      </c>
      <c r="F13" s="290"/>
      <c r="G13" s="284" t="str">
        <f>IF('Project Info'!$B$20="SQ", "Shade", "")</f>
        <v>Shade</v>
      </c>
      <c r="H13" s="295" t="str">
        <f>IF(AND(SUM(D7:D16)=B7, SUM(D5:D16)=100), "", "Error!")</f>
        <v>Error!</v>
      </c>
    </row>
    <row r="14" spans="1:8" ht="27.5" customHeight="1" thickBot="1">
      <c r="A14" s="539"/>
      <c r="B14" s="541"/>
      <c r="C14" s="292" t="str">
        <f>IF('Doc_Tables 2'!$B12&lt;&gt;"", 'Doc_Tables 2'!$D12, "[Remove row]")</f>
        <v>[Remove row]</v>
      </c>
      <c r="D14" s="293" t="str">
        <f>IF('Doc_Tables 2'!$B12&lt;&gt;"", 'Doc_Tables 2'!$C12, "N/A")</f>
        <v>N/A</v>
      </c>
      <c r="E14" s="294" t="str">
        <f t="shared" si="0"/>
        <v>N/A</v>
      </c>
      <c r="F14" s="290"/>
      <c r="G14" s="284" t="str">
        <f>IF('Project Info'!$B$20="SQ", "Shade", "")</f>
        <v>Shade</v>
      </c>
      <c r="H14" s="295" t="str">
        <f>IF(AND(SUM(D7:D16)=B7, SUM(D5:D16)=100), "", "Error!")</f>
        <v>Error!</v>
      </c>
    </row>
    <row r="15" spans="1:8" ht="27.5" customHeight="1" thickBot="1">
      <c r="A15" s="539"/>
      <c r="B15" s="541"/>
      <c r="C15" s="292" t="str">
        <f>IF('Doc_Tables 2'!$B13&lt;&gt;"", 'Doc_Tables 2'!$D13, "[Remove row]")</f>
        <v>[Remove row]</v>
      </c>
      <c r="D15" s="293" t="str">
        <f>IF('Doc_Tables 2'!$B13&lt;&gt;"", 'Doc_Tables 2'!$C13, "N/A")</f>
        <v>N/A</v>
      </c>
      <c r="E15" s="294" t="str">
        <f t="shared" si="0"/>
        <v>N/A</v>
      </c>
      <c r="F15" s="290"/>
      <c r="G15" s="284" t="str">
        <f>IF('Project Info'!$B$20="SQ", "Shade", "")</f>
        <v>Shade</v>
      </c>
      <c r="H15" s="295" t="str">
        <f>IF(AND(SUM(D7:D16)=B7, SUM(D5:D16)=100), "", "Error!")</f>
        <v>Error!</v>
      </c>
    </row>
    <row r="16" spans="1:8" ht="27.5" customHeight="1" thickBot="1">
      <c r="A16" s="538"/>
      <c r="B16" s="542"/>
      <c r="C16" s="292" t="str">
        <f>IF('Doc_Tables 2'!$B14&lt;&gt;"", 'Doc_Tables 2'!$D14, "[Remove row]")</f>
        <v>[Remove row]</v>
      </c>
      <c r="D16" s="293" t="str">
        <f>IF('Doc_Tables 2'!$B14&lt;&gt;"", 'Doc_Tables 2'!$C14, "N/A")</f>
        <v>N/A</v>
      </c>
      <c r="E16" s="294" t="str">
        <f t="shared" si="0"/>
        <v>N/A</v>
      </c>
      <c r="F16" s="290"/>
      <c r="G16" s="284" t="str">
        <f>IF('Project Info'!$B$20="SQ", "Shade", "")</f>
        <v>Shade</v>
      </c>
      <c r="H16" s="295" t="str">
        <f>IF(AND(SUM(D7:D16)=B7, SUM(D5:D16)=100), "", "Error!")</f>
        <v>Error!</v>
      </c>
    </row>
    <row r="18" spans="1:8" ht="14" thickBot="1"/>
    <row r="19" spans="1:8" ht="14" thickBot="1">
      <c r="C19" s="287" t="e">
        <f>IF(AND(Lotted?="Yes", No_Lots?&gt;=2), IF(Doc_Lot="All", CONCATENATE("Lot 2:  ", TBL_003_DocMerge[[#This Row],[Lot_2_Name]]), "Ignore this table"), "Ignore this table")</f>
        <v>#VALUE!</v>
      </c>
      <c r="D19" s="288"/>
      <c r="E19" s="289"/>
      <c r="G19" s="284" t="str">
        <f>IF(OR('Project Info'!$B$20="SQ", Lotted?="No", No_Lots?&lt;2), "Shade", IF(Doc_Lot="All", "", "Shade"))</f>
        <v>Shade</v>
      </c>
    </row>
    <row r="20" spans="1:8" ht="29" thickBot="1">
      <c r="C20" s="291" t="s">
        <v>964</v>
      </c>
      <c r="D20" s="291" t="s">
        <v>965</v>
      </c>
      <c r="E20" s="291" t="s">
        <v>966</v>
      </c>
      <c r="G20" s="284" t="str">
        <f>IF(OR('Project Info'!$B$20="SQ", Lotted?="No", No_Lots?&lt;2), "Shade", IF(Doc_Lot="All", "", "Shade"))</f>
        <v>Shade</v>
      </c>
    </row>
    <row r="21" spans="1:8" ht="27.5" customHeight="1" thickBot="1">
      <c r="A21" s="537" t="s">
        <v>958</v>
      </c>
      <c r="B21" s="540">
        <f>Tech_split</f>
        <v>0</v>
      </c>
      <c r="C21" s="292" t="str">
        <f>IF(Price_split=100, "[Remove row]", "Part 4 - Project Delivery questions")</f>
        <v>Part 4 - Project Delivery questions</v>
      </c>
      <c r="D21" s="293">
        <f>Tech_Weighting</f>
        <v>0</v>
      </c>
      <c r="E21" s="294" t="e">
        <f>IF(Tech_Weighted?="Yes", "Sum of the weighted questions", CONCATENATE("([Tenderer’s total mark for the questions] ÷ ", IF(Tech_Same_Qs?="Yes", Tech_Points_Lot_1, Tech_Points_Lot_2), ".00 ) x  ", D21, ".00"))</f>
        <v>#REF!</v>
      </c>
      <c r="G21" s="284" t="str">
        <f>IF(OR('Project Info'!$B$20="SQ", Lotted?="No", No_Lots?&lt;2), "Shade", IF(Doc_Lot="All", "", "Shade"))</f>
        <v>Shade</v>
      </c>
      <c r="H21" s="295" t="str">
        <f>IF(AND(SUM(D21:D22)=B21, SUM(D21:D32)=100), "", "Error!")</f>
        <v>Error!</v>
      </c>
    </row>
    <row r="22" spans="1:8" ht="27.5" customHeight="1" thickBot="1">
      <c r="A22" s="538"/>
      <c r="B22" s="542"/>
      <c r="C22" s="292" t="str">
        <f>IF(Price_split=100,"[Remove row]",IF(Int_or_SV="Not applicable","[Remove row]",CONCATENATE("Part 5 - ",Int_or_SV," questions")))</f>
        <v>[Remove row]</v>
      </c>
      <c r="D22" s="293">
        <f>IntSV_Weighting</f>
        <v>0</v>
      </c>
      <c r="E22" s="294" t="str">
        <f>IF(Int_or_SV="Not applicable", "N/A", IF(IntSV_Weighted?="Yes", "Sum of the weighted questions", CONCATENATE("([Tenderer’s total mark for Questions] ÷ ", IF(IntSV_Same_Qs?="Yes", IntSV_Points_Lot_1, IntSV_Points_Lot_2), ".00 ) x  ", D6, ".00")))</f>
        <v>N/A</v>
      </c>
      <c r="G22" s="284" t="str">
        <f>IF(OR('Project Info'!$B$20="SQ", Lotted?="No", No_Lots?&lt;2), "Shade", IF(Doc_Lot="All", "", "Shade"))</f>
        <v>Shade</v>
      </c>
      <c r="H22" s="295" t="str">
        <f>IF(AND(SUM(D21:D22)=B21, SUM(D21:D32)=100), "", "Error!")</f>
        <v>Error!</v>
      </c>
    </row>
    <row r="23" spans="1:8" ht="27.5" customHeight="1" thickBot="1">
      <c r="A23" s="537" t="s">
        <v>967</v>
      </c>
      <c r="B23" s="540">
        <f>Price_split</f>
        <v>0</v>
      </c>
      <c r="C23" s="292" t="str">
        <f>IF('Doc_Tables 2'!$B20&lt;&gt;"", 'Doc_Tables 2'!$D20, "Add info on 'Doc_Tables 1' tab")</f>
        <v>Add info on 'Doc_Tables 1' tab</v>
      </c>
      <c r="D23" s="293" t="str">
        <f>IF('Doc_Tables 2'!$B20&lt;&gt;"", 'Doc_Tables 2'!$C20, "N/A")</f>
        <v>N/A</v>
      </c>
      <c r="E23" s="294" t="str">
        <f>IF(D23="N/A", D23, CONCATENATE(D23, ".00  - [Tenderer's price - lowest price) ÷ lowest price] x ", D23, ".00"))</f>
        <v>N/A</v>
      </c>
      <c r="G23" s="284" t="str">
        <f>IF(OR('Project Info'!$B$20="SQ", Lotted?="No", No_Lots?&lt;2), "Shade", IF(Doc_Lot="All", "", "Shade"))</f>
        <v>Shade</v>
      </c>
      <c r="H23" s="295" t="str">
        <f>IF(AND(SUM(D23:D32)=B23, SUM(D21:D32)=100), "", "Error!")</f>
        <v>Error!</v>
      </c>
    </row>
    <row r="24" spans="1:8" ht="27.5" customHeight="1" thickBot="1">
      <c r="A24" s="539"/>
      <c r="B24" s="541"/>
      <c r="C24" s="292" t="str">
        <f>IF('Doc_Tables 2'!$B21&lt;&gt;"", 'Doc_Tables 2'!$D21, "[Remove row]")</f>
        <v>[Remove row]</v>
      </c>
      <c r="D24" s="293" t="str">
        <f>IF('Doc_Tables 2'!$B21&lt;&gt;"", 'Doc_Tables 2'!$C21, "N/A")</f>
        <v>N/A</v>
      </c>
      <c r="E24" s="294" t="str">
        <f t="shared" ref="E24:E32" si="1">IF(D24="N/A", D24, CONCATENATE(D24, ".00  - [Tenderer's price - lowest price) ÷ lowest price] x ", D24, ".00"))</f>
        <v>N/A</v>
      </c>
      <c r="G24" s="284" t="str">
        <f>IF(OR('Project Info'!$B$20="SQ", Lotted?="No", No_Lots?&lt;2), "Shade", IF(Doc_Lot="All", "", "Shade"))</f>
        <v>Shade</v>
      </c>
      <c r="H24" s="295" t="str">
        <f>IF(AND(SUM(D23:D32)=B23, SUM(D21:D32)=100), "", "Error!")</f>
        <v>Error!</v>
      </c>
    </row>
    <row r="25" spans="1:8" ht="27.5" customHeight="1" thickBot="1">
      <c r="A25" s="539"/>
      <c r="B25" s="541"/>
      <c r="C25" s="292" t="str">
        <f>IF('Doc_Tables 2'!$B22&lt;&gt;"", 'Doc_Tables 2'!$D22, "[Remove row]")</f>
        <v>[Remove row]</v>
      </c>
      <c r="D25" s="293" t="str">
        <f>IF('Doc_Tables 2'!$B22&lt;&gt;"", 'Doc_Tables 2'!$C22, "N/A")</f>
        <v>N/A</v>
      </c>
      <c r="E25" s="294" t="str">
        <f t="shared" si="1"/>
        <v>N/A</v>
      </c>
      <c r="G25" s="284" t="str">
        <f>IF(OR('Project Info'!$B$20="SQ", Lotted?="No", No_Lots?&lt;2), "Shade", IF(Doc_Lot="All", "", "Shade"))</f>
        <v>Shade</v>
      </c>
      <c r="H25" s="295" t="str">
        <f>IF(AND(SUM(D23:D32)=B23, SUM(D21:D32)=100), "", "Error!")</f>
        <v>Error!</v>
      </c>
    </row>
    <row r="26" spans="1:8" ht="27.5" customHeight="1" thickBot="1">
      <c r="A26" s="539"/>
      <c r="B26" s="541"/>
      <c r="C26" s="292" t="str">
        <f>IF('Doc_Tables 2'!$B23&lt;&gt;"", 'Doc_Tables 2'!$D23, "[Remove row]")</f>
        <v>[Remove row]</v>
      </c>
      <c r="D26" s="293" t="str">
        <f>IF('Doc_Tables 2'!$B23&lt;&gt;"", 'Doc_Tables 2'!$C23, "N/A")</f>
        <v>N/A</v>
      </c>
      <c r="E26" s="294" t="str">
        <f t="shared" si="1"/>
        <v>N/A</v>
      </c>
      <c r="G26" s="284" t="str">
        <f>IF(OR('Project Info'!$B$20="SQ", Lotted?="No", No_Lots?&lt;2), "Shade", IF(Doc_Lot="All", "", "Shade"))</f>
        <v>Shade</v>
      </c>
      <c r="H26" s="295" t="str">
        <f>IF(AND(SUM(D23:D32)=B23, SUM(D21:D32)=100), "", "Error!")</f>
        <v>Error!</v>
      </c>
    </row>
    <row r="27" spans="1:8" ht="27.5" customHeight="1" thickBot="1">
      <c r="A27" s="539"/>
      <c r="B27" s="541"/>
      <c r="C27" s="292" t="str">
        <f>IF('Doc_Tables 2'!$B24&lt;&gt;"", 'Doc_Tables 2'!$D24, "[Remove row]")</f>
        <v>[Remove row]</v>
      </c>
      <c r="D27" s="293" t="str">
        <f>IF('Doc_Tables 2'!$B24&lt;&gt;"", 'Doc_Tables 2'!$C24, "N/A")</f>
        <v>N/A</v>
      </c>
      <c r="E27" s="294" t="str">
        <f t="shared" si="1"/>
        <v>N/A</v>
      </c>
      <c r="G27" s="284" t="str">
        <f>IF(OR('Project Info'!$B$20="SQ", Lotted?="No", No_Lots?&lt;2), "Shade", IF(Doc_Lot="All", "", "Shade"))</f>
        <v>Shade</v>
      </c>
      <c r="H27" s="295" t="str">
        <f>IF(AND(SUM(D23:D32)=B23, SUM(D21:D32)=100), "", "Error!")</f>
        <v>Error!</v>
      </c>
    </row>
    <row r="28" spans="1:8" ht="27.5" customHeight="1" thickBot="1">
      <c r="A28" s="539"/>
      <c r="B28" s="541"/>
      <c r="C28" s="292" t="str">
        <f>IF('Doc_Tables 2'!$B25&lt;&gt;"", 'Doc_Tables 2'!$D25, "[Remove row]")</f>
        <v>[Remove row]</v>
      </c>
      <c r="D28" s="293" t="str">
        <f>IF('Doc_Tables 2'!$B25&lt;&gt;"", 'Doc_Tables 2'!$C25, "N/A")</f>
        <v>N/A</v>
      </c>
      <c r="E28" s="294" t="str">
        <f t="shared" si="1"/>
        <v>N/A</v>
      </c>
      <c r="G28" s="284" t="str">
        <f>IF(OR('Project Info'!$B$20="SQ", Lotted?="No", No_Lots?&lt;2), "Shade", IF(Doc_Lot="All", "", "Shade"))</f>
        <v>Shade</v>
      </c>
      <c r="H28" s="295" t="str">
        <f>IF(AND(SUM(D23:D32)=B23, SUM(D21:D32)=100), "", "Error!")</f>
        <v>Error!</v>
      </c>
    </row>
    <row r="29" spans="1:8" ht="27.5" customHeight="1" thickBot="1">
      <c r="A29" s="539"/>
      <c r="B29" s="541"/>
      <c r="C29" s="292" t="str">
        <f>IF('Doc_Tables 2'!$B26&lt;&gt;"", 'Doc_Tables 2'!$D26, "[Remove row]")</f>
        <v>[Remove row]</v>
      </c>
      <c r="D29" s="293" t="str">
        <f>IF('Doc_Tables 2'!$B26&lt;&gt;"", 'Doc_Tables 2'!$C26, "N/A")</f>
        <v>N/A</v>
      </c>
      <c r="E29" s="294" t="str">
        <f t="shared" si="1"/>
        <v>N/A</v>
      </c>
      <c r="G29" s="284" t="str">
        <f>IF(OR('Project Info'!$B$20="SQ", Lotted?="No", No_Lots?&lt;2), "Shade", IF(Doc_Lot="All", "", "Shade"))</f>
        <v>Shade</v>
      </c>
      <c r="H29" s="295" t="str">
        <f>IF(AND(SUM(D23:D32)=B23, SUM(D21:D32)=100), "", "Error!")</f>
        <v>Error!</v>
      </c>
    </row>
    <row r="30" spans="1:8" ht="27.5" customHeight="1" thickBot="1">
      <c r="A30" s="539"/>
      <c r="B30" s="541"/>
      <c r="C30" s="292" t="str">
        <f>IF('Doc_Tables 2'!$B27&lt;&gt;"", 'Doc_Tables 2'!$D27, "[Remove row]")</f>
        <v>[Remove row]</v>
      </c>
      <c r="D30" s="293" t="str">
        <f>IF('Doc_Tables 2'!$B27&lt;&gt;"", 'Doc_Tables 2'!$C27, "N/A")</f>
        <v>N/A</v>
      </c>
      <c r="E30" s="294" t="str">
        <f t="shared" si="1"/>
        <v>N/A</v>
      </c>
      <c r="G30" s="284" t="str">
        <f>IF(OR('Project Info'!$B$20="SQ", Lotted?="No", No_Lots?&lt;2), "Shade", IF(Doc_Lot="All", "", "Shade"))</f>
        <v>Shade</v>
      </c>
      <c r="H30" s="295" t="str">
        <f>IF(AND(SUM(D23:D32)=B23, SUM(D21:D32)=100), "", "Error!")</f>
        <v>Error!</v>
      </c>
    </row>
    <row r="31" spans="1:8" ht="27.5" customHeight="1" thickBot="1">
      <c r="A31" s="539"/>
      <c r="B31" s="541"/>
      <c r="C31" s="292" t="str">
        <f>IF('Doc_Tables 2'!$B28&lt;&gt;"", 'Doc_Tables 2'!$D28, "[Remove row]")</f>
        <v>[Remove row]</v>
      </c>
      <c r="D31" s="293" t="str">
        <f>IF('Doc_Tables 2'!$B28&lt;&gt;"", 'Doc_Tables 2'!$C28, "N/A")</f>
        <v>N/A</v>
      </c>
      <c r="E31" s="294" t="str">
        <f t="shared" si="1"/>
        <v>N/A</v>
      </c>
      <c r="G31" s="284" t="str">
        <f>IF(OR('Project Info'!$B$20="SQ", Lotted?="No", No_Lots?&lt;2), "Shade", IF(Doc_Lot="All", "", "Shade"))</f>
        <v>Shade</v>
      </c>
      <c r="H31" s="295" t="str">
        <f>IF(AND(SUM(D23:D32)=B23, SUM(D21:D32)=100), "", "Error!")</f>
        <v>Error!</v>
      </c>
    </row>
    <row r="32" spans="1:8" ht="27.5" customHeight="1" thickBot="1">
      <c r="A32" s="538"/>
      <c r="B32" s="542"/>
      <c r="C32" s="292" t="str">
        <f>IF('Doc_Tables 2'!$B29&lt;&gt;"", 'Doc_Tables 2'!$D29, "[Remove row]")</f>
        <v>[Remove row]</v>
      </c>
      <c r="D32" s="293" t="str">
        <f>IF('Doc_Tables 2'!$B29&lt;&gt;"", 'Doc_Tables 2'!$C29, "N/A")</f>
        <v>N/A</v>
      </c>
      <c r="E32" s="294" t="str">
        <f t="shared" si="1"/>
        <v>N/A</v>
      </c>
      <c r="G32" s="284" t="str">
        <f>IF(OR('Project Info'!$B$20="SQ", Lotted?="No", No_Lots?&lt;2), "Shade", IF(Doc_Lot="All", "", "Shade"))</f>
        <v>Shade</v>
      </c>
      <c r="H32" s="295" t="str">
        <f>IF(AND(SUM(D23:D32)=B23, SUM(D21:D32)=100), "", "Error!")</f>
        <v>Error!</v>
      </c>
    </row>
    <row r="34" spans="1:8" ht="14" thickBot="1"/>
    <row r="35" spans="1:8" ht="14" thickBot="1">
      <c r="C35" s="287" t="e">
        <f>IF(AND(Lotted?="Yes", No_Lots?&gt;=3), IF(Doc_Lot="All", CONCATENATE("Lot 3:  ", TBL_003_DocMerge[[#This Row],[Lot_3_Name]]), "Ignore this table"), "Ignore this table")</f>
        <v>#VALUE!</v>
      </c>
      <c r="D35" s="288"/>
      <c r="E35" s="289"/>
      <c r="G35" s="284" t="str">
        <f>IF(OR('Project Info'!$B$20="SQ", Lotted?="No", No_Lots?&lt;3), "Shade", IF(Doc_Lot="All", "", "Shade"))</f>
        <v>Shade</v>
      </c>
    </row>
    <row r="36" spans="1:8" ht="29" thickBot="1">
      <c r="C36" s="291" t="s">
        <v>964</v>
      </c>
      <c r="D36" s="291" t="s">
        <v>965</v>
      </c>
      <c r="E36" s="291" t="s">
        <v>966</v>
      </c>
      <c r="G36" s="284" t="str">
        <f>IF(OR('Project Info'!$B$20="SQ", Lotted?="No", No_Lots?&lt;3), "Shade", IF(Doc_Lot="All", "", "Shade"))</f>
        <v>Shade</v>
      </c>
    </row>
    <row r="37" spans="1:8" ht="27.5" customHeight="1" thickBot="1">
      <c r="A37" s="537" t="s">
        <v>958</v>
      </c>
      <c r="B37" s="540">
        <f>Tech_split</f>
        <v>0</v>
      </c>
      <c r="C37" s="292" t="str">
        <f>IF(Price_split=100, "[Remove row]", "Part 4 - Project Delivery questions")</f>
        <v>Part 4 - Project Delivery questions</v>
      </c>
      <c r="D37" s="293">
        <f>Tech_Weighting</f>
        <v>0</v>
      </c>
      <c r="E37" s="294" t="e">
        <f>IF(Tech_Weighted?="Yes", "Sum of the weighted questions", CONCATENATE("([Tenderer’s total mark for the questions] ÷ ", IF(Tech_Same_Qs?="Yes", Tech_Points_Lot_1, Tech_Points_Lot_3), ".00 ) x  ", D37, ".00"))</f>
        <v>#REF!</v>
      </c>
      <c r="G37" s="284" t="str">
        <f>IF(OR('Project Info'!$B$20="SQ", Lotted?="No", No_Lots?&lt;3), "Shade", IF(Doc_Lot="All", "", "Shade"))</f>
        <v>Shade</v>
      </c>
      <c r="H37" s="295" t="str">
        <f>IF(AND(SUM(D37:D38)=B37, SUM(D37:D48)=100), "", "Error!")</f>
        <v>Error!</v>
      </c>
    </row>
    <row r="38" spans="1:8" ht="27.5" customHeight="1" thickBot="1">
      <c r="A38" s="538"/>
      <c r="B38" s="542"/>
      <c r="C38" s="292" t="str">
        <f>IF(Price_split=100,"[Remove row]",IF(Int_or_SV="Not applicable","[Remove row]",CONCATENATE("Part 5 - ",Int_or_SV," questions")))</f>
        <v>[Remove row]</v>
      </c>
      <c r="D38" s="293">
        <f>IntSV_Weighting</f>
        <v>0</v>
      </c>
      <c r="E38" s="294" t="str">
        <f>IF(Int_or_SV="Not applicable", "N/A", IF(IntSV_Weighted?="Yes", "Sum of the weighted questions", CONCATENATE("([Tenderer’s total mark for Questions] ÷ ", IF(IntSV_Same_Qs?="Yes", IntSV_Points_Lot_1, IntSV_Points_Lot_3), ".00 ) x  ", D22, ".00")))</f>
        <v>N/A</v>
      </c>
      <c r="G38" s="284" t="str">
        <f>IF(OR('Project Info'!$B$20="SQ", Lotted?="No", No_Lots?&lt;3), "Shade", IF(Doc_Lot="All", "", "Shade"))</f>
        <v>Shade</v>
      </c>
      <c r="H38" s="295" t="str">
        <f>IF(AND(SUM(D37:D38)=B37, SUM(D37:D48)=100), "", "Error!")</f>
        <v>Error!</v>
      </c>
    </row>
    <row r="39" spans="1:8" ht="27.5" customHeight="1" thickBot="1">
      <c r="A39" s="537" t="s">
        <v>967</v>
      </c>
      <c r="B39" s="540">
        <f>Price_split</f>
        <v>0</v>
      </c>
      <c r="C39" s="292" t="str">
        <f>IF('Doc_Tables 2'!$B35&lt;&gt;"", 'Doc_Tables 2'!$D35, "Add info on 'Doc_Tables 1' tab")</f>
        <v>Add info on 'Doc_Tables 1' tab</v>
      </c>
      <c r="D39" s="293" t="str">
        <f>IF('Doc_Tables 2'!$B35&lt;&gt;"", 'Doc_Tables 2'!$C35, "N/A")</f>
        <v>N/A</v>
      </c>
      <c r="E39" s="294" t="str">
        <f>IF(D39="N/A", D39, CONCATENATE(D39, ".00  - [Tenderer's price - lowest price) ÷ lowest price] x ", D39, ".00"))</f>
        <v>N/A</v>
      </c>
      <c r="G39" s="284" t="str">
        <f>IF(OR('Project Info'!$B$20="SQ", Lotted?="No", No_Lots?&lt;3), "Shade", IF(Doc_Lot="All", "", "Shade"))</f>
        <v>Shade</v>
      </c>
      <c r="H39" s="295" t="str">
        <f>IF(AND(SUM(D39:D48)=B39, SUM(D37:D48)=100), "", "Error!")</f>
        <v>Error!</v>
      </c>
    </row>
    <row r="40" spans="1:8" ht="27.5" customHeight="1" thickBot="1">
      <c r="A40" s="539"/>
      <c r="B40" s="541"/>
      <c r="C40" s="292" t="str">
        <f>IF('Doc_Tables 2'!$B36&lt;&gt;"", 'Doc_Tables 2'!$D36, "[Remove row]")</f>
        <v>[Remove row]</v>
      </c>
      <c r="D40" s="293" t="str">
        <f>IF('Doc_Tables 2'!$B36&lt;&gt;"", 'Doc_Tables 2'!$C36, "N/A")</f>
        <v>N/A</v>
      </c>
      <c r="E40" s="294" t="str">
        <f t="shared" ref="E40:E48" si="2">IF(D40="N/A", D40, CONCATENATE(D40, ".00  - [Tenderer's price - lowest price) ÷ lowest price] x ", D40, ".00"))</f>
        <v>N/A</v>
      </c>
      <c r="G40" s="284" t="str">
        <f>IF(OR('Project Info'!$B$20="SQ", Lotted?="No", No_Lots?&lt;3), "Shade", IF(Doc_Lot="All", "", "Shade"))</f>
        <v>Shade</v>
      </c>
      <c r="H40" s="295" t="str">
        <f>IF(AND(SUM(D39:D48)=B39, SUM(D37:D48)=100), "", "Error!")</f>
        <v>Error!</v>
      </c>
    </row>
    <row r="41" spans="1:8" ht="27.5" customHeight="1" thickBot="1">
      <c r="A41" s="539"/>
      <c r="B41" s="541"/>
      <c r="C41" s="292" t="str">
        <f>IF('Doc_Tables 2'!$B37&lt;&gt;"", 'Doc_Tables 2'!$D37, "[Remove row]")</f>
        <v>[Remove row]</v>
      </c>
      <c r="D41" s="293" t="str">
        <f>IF('Doc_Tables 2'!$B37&lt;&gt;"", 'Doc_Tables 2'!$C37, "N/A")</f>
        <v>N/A</v>
      </c>
      <c r="E41" s="294" t="str">
        <f t="shared" si="2"/>
        <v>N/A</v>
      </c>
      <c r="G41" s="284" t="str">
        <f>IF(OR('Project Info'!$B$20="SQ", Lotted?="No", No_Lots?&lt;3), "Shade", IF(Doc_Lot="All", "", "Shade"))</f>
        <v>Shade</v>
      </c>
      <c r="H41" s="295" t="str">
        <f>IF(AND(SUM(D39:D48)=B39, SUM(D37:D48)=100), "", "Error!")</f>
        <v>Error!</v>
      </c>
    </row>
    <row r="42" spans="1:8" ht="27.5" customHeight="1" thickBot="1">
      <c r="A42" s="539"/>
      <c r="B42" s="541"/>
      <c r="C42" s="292" t="str">
        <f>IF('Doc_Tables 2'!$B38&lt;&gt;"", 'Doc_Tables 2'!$D38, "[Remove row]")</f>
        <v>[Remove row]</v>
      </c>
      <c r="D42" s="293" t="str">
        <f>IF('Doc_Tables 2'!$B38&lt;&gt;"", 'Doc_Tables 2'!$C38, "N/A")</f>
        <v>N/A</v>
      </c>
      <c r="E42" s="294" t="str">
        <f t="shared" si="2"/>
        <v>N/A</v>
      </c>
      <c r="G42" s="284" t="str">
        <f>IF(OR('Project Info'!$B$20="SQ", Lotted?="No", No_Lots?&lt;3), "Shade", IF(Doc_Lot="All", "", "Shade"))</f>
        <v>Shade</v>
      </c>
      <c r="H42" s="295" t="str">
        <f>IF(AND(SUM(D39:D48)=B39, SUM(D37:D48)=100), "", "Error!")</f>
        <v>Error!</v>
      </c>
    </row>
    <row r="43" spans="1:8" ht="27.5" customHeight="1" thickBot="1">
      <c r="A43" s="539"/>
      <c r="B43" s="541"/>
      <c r="C43" s="292" t="str">
        <f>IF('Doc_Tables 2'!$B39&lt;&gt;"", 'Doc_Tables 2'!$D39, "[Remove row]")</f>
        <v>[Remove row]</v>
      </c>
      <c r="D43" s="293" t="str">
        <f>IF('Doc_Tables 2'!$B39&lt;&gt;"", 'Doc_Tables 2'!$C39, "N/A")</f>
        <v>N/A</v>
      </c>
      <c r="E43" s="294" t="str">
        <f t="shared" si="2"/>
        <v>N/A</v>
      </c>
      <c r="G43" s="284" t="str">
        <f>IF(OR('Project Info'!$B$20="SQ", Lotted?="No", No_Lots?&lt;3), "Shade", IF(Doc_Lot="All", "", "Shade"))</f>
        <v>Shade</v>
      </c>
      <c r="H43" s="295" t="str">
        <f>IF(AND(SUM(D39:D48)=B39, SUM(D37:D48)=100), "", "Error!")</f>
        <v>Error!</v>
      </c>
    </row>
    <row r="44" spans="1:8" ht="27.5" customHeight="1" thickBot="1">
      <c r="A44" s="539"/>
      <c r="B44" s="541"/>
      <c r="C44" s="292" t="str">
        <f>IF('Doc_Tables 2'!$B40&lt;&gt;"", 'Doc_Tables 2'!$D40, "[Remove row]")</f>
        <v>[Remove row]</v>
      </c>
      <c r="D44" s="293" t="str">
        <f>IF('Doc_Tables 2'!$B40&lt;&gt;"", 'Doc_Tables 2'!$C40, "N/A")</f>
        <v>N/A</v>
      </c>
      <c r="E44" s="294" t="str">
        <f t="shared" si="2"/>
        <v>N/A</v>
      </c>
      <c r="G44" s="284" t="str">
        <f>IF(OR('Project Info'!$B$20="SQ", Lotted?="No", No_Lots?&lt;3), "Shade", IF(Doc_Lot="All", "", "Shade"))</f>
        <v>Shade</v>
      </c>
      <c r="H44" s="295" t="str">
        <f>IF(AND(SUM(D39:D48)=B39, SUM(D37:D48)=100), "", "Error!")</f>
        <v>Error!</v>
      </c>
    </row>
    <row r="45" spans="1:8" ht="27.5" customHeight="1" thickBot="1">
      <c r="A45" s="539"/>
      <c r="B45" s="541"/>
      <c r="C45" s="292" t="str">
        <f>IF('Doc_Tables 2'!$B41&lt;&gt;"", 'Doc_Tables 2'!$D41, "[Remove row]")</f>
        <v>[Remove row]</v>
      </c>
      <c r="D45" s="293" t="str">
        <f>IF('Doc_Tables 2'!$B41&lt;&gt;"", 'Doc_Tables 2'!$C41, "N/A")</f>
        <v>N/A</v>
      </c>
      <c r="E45" s="294" t="str">
        <f t="shared" si="2"/>
        <v>N/A</v>
      </c>
      <c r="G45" s="284" t="str">
        <f>IF(OR('Project Info'!$B$20="SQ", Lotted?="No", No_Lots?&lt;3), "Shade", IF(Doc_Lot="All", "", "Shade"))</f>
        <v>Shade</v>
      </c>
      <c r="H45" s="295" t="str">
        <f>IF(AND(SUM(D39:D48)=B39, SUM(D37:D48)=100), "", "Error!")</f>
        <v>Error!</v>
      </c>
    </row>
    <row r="46" spans="1:8" ht="27.5" customHeight="1" thickBot="1">
      <c r="A46" s="539"/>
      <c r="B46" s="541"/>
      <c r="C46" s="292" t="str">
        <f>IF('Doc_Tables 2'!$B42&lt;&gt;"", 'Doc_Tables 2'!$D42, "[Remove row]")</f>
        <v>[Remove row]</v>
      </c>
      <c r="D46" s="293" t="str">
        <f>IF('Doc_Tables 2'!$B42&lt;&gt;"", 'Doc_Tables 2'!$C42, "N/A")</f>
        <v>N/A</v>
      </c>
      <c r="E46" s="294" t="str">
        <f t="shared" si="2"/>
        <v>N/A</v>
      </c>
      <c r="G46" s="284" t="str">
        <f>IF(OR('Project Info'!$B$20="SQ", Lotted?="No", No_Lots?&lt;3), "Shade", IF(Doc_Lot="All", "", "Shade"))</f>
        <v>Shade</v>
      </c>
      <c r="H46" s="295" t="str">
        <f>IF(AND(SUM(D39:D48)=B39, SUM(D37:D48)=100), "", "Error!")</f>
        <v>Error!</v>
      </c>
    </row>
    <row r="47" spans="1:8" ht="27.5" customHeight="1" thickBot="1">
      <c r="A47" s="539"/>
      <c r="B47" s="541"/>
      <c r="C47" s="292" t="str">
        <f>IF('Doc_Tables 2'!$B43&lt;&gt;"", 'Doc_Tables 2'!$D43, "[Remove row]")</f>
        <v>[Remove row]</v>
      </c>
      <c r="D47" s="293" t="str">
        <f>IF('Doc_Tables 2'!$B43&lt;&gt;"", 'Doc_Tables 2'!$C43, "N/A")</f>
        <v>N/A</v>
      </c>
      <c r="E47" s="294" t="str">
        <f t="shared" si="2"/>
        <v>N/A</v>
      </c>
      <c r="G47" s="284" t="str">
        <f>IF(OR('Project Info'!$B$20="SQ", Lotted?="No", No_Lots?&lt;3), "Shade", IF(Doc_Lot="All", "", "Shade"))</f>
        <v>Shade</v>
      </c>
      <c r="H47" s="295" t="str">
        <f>IF(AND(SUM(D39:D48)=B39, SUM(D37:D48)=100), "", "Error!")</f>
        <v>Error!</v>
      </c>
    </row>
    <row r="48" spans="1:8" ht="27.5" customHeight="1" thickBot="1">
      <c r="A48" s="538"/>
      <c r="B48" s="542"/>
      <c r="C48" s="292" t="str">
        <f>IF('Doc_Tables 2'!$B44&lt;&gt;"", 'Doc_Tables 2'!$D44, "[Remove row]")</f>
        <v>[Remove row]</v>
      </c>
      <c r="D48" s="293" t="str">
        <f>IF('Doc_Tables 2'!$B44&lt;&gt;"", 'Doc_Tables 2'!$C44, "N/A")</f>
        <v>N/A</v>
      </c>
      <c r="E48" s="294" t="str">
        <f t="shared" si="2"/>
        <v>N/A</v>
      </c>
      <c r="G48" s="284" t="str">
        <f>IF(OR('Project Info'!$B$20="SQ", Lotted?="No", No_Lots?&lt;3), "Shade", IF(Doc_Lot="All", "", "Shade"))</f>
        <v>Shade</v>
      </c>
      <c r="H48" s="295" t="str">
        <f>IF(AND(SUM(D39:D48)=B39, SUM(D37:D48)=100), "", "Error!")</f>
        <v>Error!</v>
      </c>
    </row>
    <row r="50" spans="1:8" ht="14" thickBot="1"/>
    <row r="51" spans="1:8" ht="14" thickBot="1">
      <c r="C51" s="287" t="e">
        <f>IF(AND(Lotted?="Yes", No_Lots?&gt;=4), IF(Doc_Lot="All", CONCATENATE("Lot 4:  ", TBL_003_DocMerge[[#This Row],[Lot_4_Name]]), "Ignore this table"), "Ignore this table")</f>
        <v>#VALUE!</v>
      </c>
      <c r="D51" s="288"/>
      <c r="E51" s="289"/>
      <c r="G51" s="284" t="str">
        <f>IF(OR('Project Info'!$B$20="SQ", Lotted?="No", No_Lots?&lt;4), "Shade", IF(Doc_Lot="All", "", "Shade"))</f>
        <v>Shade</v>
      </c>
    </row>
    <row r="52" spans="1:8" ht="29" thickBot="1">
      <c r="C52" s="291" t="s">
        <v>964</v>
      </c>
      <c r="D52" s="291" t="s">
        <v>965</v>
      </c>
      <c r="E52" s="291" t="s">
        <v>966</v>
      </c>
      <c r="G52" s="284" t="str">
        <f>IF(OR('Project Info'!$B$20="SQ", Lotted?="No", No_Lots?&lt;4), "Shade", IF(Doc_Lot="All", "", "Shade"))</f>
        <v>Shade</v>
      </c>
    </row>
    <row r="53" spans="1:8" ht="27.5" customHeight="1" thickBot="1">
      <c r="A53" s="537" t="s">
        <v>958</v>
      </c>
      <c r="B53" s="540">
        <f>Tech_split</f>
        <v>0</v>
      </c>
      <c r="C53" s="292" t="str">
        <f>IF(Price_split=100, "[Remove row]", "Part 4 - Project Delivery questions")</f>
        <v>Part 4 - Project Delivery questions</v>
      </c>
      <c r="D53" s="293">
        <f>Tech_Weighting</f>
        <v>0</v>
      </c>
      <c r="E53" s="294" t="e">
        <f>IF(Tech_Weighted?="Yes", "Sum of the weighted questions", CONCATENATE("([Tenderer’s total mark for the questions] ÷ ", IF(Tech_Same_Qs?="Yes", Tech_Points_Lot_1, Tech_Points_Lot_4), ".00 ) x  ", D53, ".00"))</f>
        <v>#REF!</v>
      </c>
      <c r="G53" s="284" t="str">
        <f>IF(OR('Project Info'!$B$20="SQ", Lotted?="No", No_Lots?&lt;4), "Shade", IF(Doc_Lot="All", "", "Shade"))</f>
        <v>Shade</v>
      </c>
      <c r="H53" s="295" t="str">
        <f>IF(AND(SUM(D53:D54)=B53, SUM(D53:D64)=100), "", "Error!")</f>
        <v>Error!</v>
      </c>
    </row>
    <row r="54" spans="1:8" ht="27.5" customHeight="1" thickBot="1">
      <c r="A54" s="538"/>
      <c r="B54" s="542"/>
      <c r="C54" s="292" t="str">
        <f>IF(Price_split=100,"[Remove row]",IF(Int_or_SV="Not applicable","[Remove row]",CONCATENATE("Part 5 - ",Int_or_SV," questions")))</f>
        <v>[Remove row]</v>
      </c>
      <c r="D54" s="293">
        <f>IntSV_Weighting</f>
        <v>0</v>
      </c>
      <c r="E54" s="294" t="str">
        <f>IF(Int_or_SV="Not applicable", "N/A", IF(IntSV_Weighted?="Yes", "Sum of the weighted questions", CONCATENATE("([Tenderer’s total mark for Questions] ÷ ", IF(IntSV_Same_Qs?="Yes", IntSV_Points_Lot_1, IntSV_Points_Lot_4), ".00 ) x  ", D38, ".00")))</f>
        <v>N/A</v>
      </c>
      <c r="G54" s="284" t="str">
        <f>IF(OR('Project Info'!$B$20="SQ", Lotted?="No", No_Lots?&lt;4), "Shade", IF(Doc_Lot="All", "", "Shade"))</f>
        <v>Shade</v>
      </c>
      <c r="H54" s="295" t="str">
        <f>IF(AND(SUM(D53:D54)=B53, SUM(D53:D64)=100), "", "Error!")</f>
        <v>Error!</v>
      </c>
    </row>
    <row r="55" spans="1:8" ht="27.5" customHeight="1" thickBot="1">
      <c r="A55" s="537" t="s">
        <v>967</v>
      </c>
      <c r="B55" s="540">
        <f>Price_split</f>
        <v>0</v>
      </c>
      <c r="C55" s="292" t="str">
        <f>IF('Doc_Tables 2'!$B50&lt;&gt;"", 'Doc_Tables 2'!$D50, "Add info on 'Doc_Tables 1' tab")</f>
        <v>Add info on 'Doc_Tables 1' tab</v>
      </c>
      <c r="D55" s="293" t="str">
        <f>IF('Doc_Tables 2'!$B50&lt;&gt;"", 'Doc_Tables 2'!$C50, "N/A")</f>
        <v>N/A</v>
      </c>
      <c r="E55" s="294" t="str">
        <f>IF(D55="N/A", D55, CONCATENATE(D55, ".00  - [Tenderer's price - lowest price) ÷ lowest price] x ", D55, ".00"))</f>
        <v>N/A</v>
      </c>
      <c r="G55" s="284" t="str">
        <f>IF(OR('Project Info'!$B$20="SQ", Lotted?="No", No_Lots?&lt;4), "Shade", IF(Doc_Lot="All", "", "Shade"))</f>
        <v>Shade</v>
      </c>
      <c r="H55" s="295" t="str">
        <f>IF(AND(SUM(D55:D64)=B55, SUM(D53:D64)=100), "", "Error!")</f>
        <v>Error!</v>
      </c>
    </row>
    <row r="56" spans="1:8" ht="27.5" customHeight="1" thickBot="1">
      <c r="A56" s="539"/>
      <c r="B56" s="541"/>
      <c r="C56" s="292" t="str">
        <f>IF('Doc_Tables 2'!$B51&lt;&gt;"", 'Doc_Tables 2'!$D51, "[Remove row]")</f>
        <v>[Remove row]</v>
      </c>
      <c r="D56" s="293" t="str">
        <f>IF('Doc_Tables 2'!$B51&lt;&gt;"", 'Doc_Tables 2'!$C51, "N/A")</f>
        <v>N/A</v>
      </c>
      <c r="E56" s="294" t="str">
        <f t="shared" ref="E56:E64" si="3">IF(D56="N/A", D56, CONCATENATE(D56, ".00  - [Tenderer's price - lowest price) ÷ lowest price] x ", D56, ".00"))</f>
        <v>N/A</v>
      </c>
      <c r="G56" s="284" t="str">
        <f>IF(OR('Project Info'!$B$20="SQ", Lotted?="No", No_Lots?&lt;4), "Shade", IF(Doc_Lot="All", "", "Shade"))</f>
        <v>Shade</v>
      </c>
      <c r="H56" s="295" t="str">
        <f>IF(AND(SUM(D55:D64)=B55, SUM(D53:D64)=100), "", "Error!")</f>
        <v>Error!</v>
      </c>
    </row>
    <row r="57" spans="1:8" ht="27.5" customHeight="1" thickBot="1">
      <c r="A57" s="539"/>
      <c r="B57" s="541"/>
      <c r="C57" s="292" t="str">
        <f>IF('Doc_Tables 2'!$B52&lt;&gt;"", 'Doc_Tables 2'!$D52, "[Remove row]")</f>
        <v>[Remove row]</v>
      </c>
      <c r="D57" s="293" t="str">
        <f>IF('Doc_Tables 2'!$B52&lt;&gt;"", 'Doc_Tables 2'!$C52, "N/A")</f>
        <v>N/A</v>
      </c>
      <c r="E57" s="294" t="str">
        <f t="shared" si="3"/>
        <v>N/A</v>
      </c>
      <c r="G57" s="284" t="str">
        <f>IF(OR('Project Info'!$B$20="SQ", Lotted?="No", No_Lots?&lt;4), "Shade", IF(Doc_Lot="All", "", "Shade"))</f>
        <v>Shade</v>
      </c>
      <c r="H57" s="295" t="str">
        <f>IF(AND(SUM(D55:D64)=B55, SUM(D53:D64)=100), "", "Error!")</f>
        <v>Error!</v>
      </c>
    </row>
    <row r="58" spans="1:8" ht="27.5" customHeight="1" thickBot="1">
      <c r="A58" s="539"/>
      <c r="B58" s="541"/>
      <c r="C58" s="292" t="str">
        <f>IF('Doc_Tables 2'!$B53&lt;&gt;"", 'Doc_Tables 2'!$D53, "[Remove row]")</f>
        <v>[Remove row]</v>
      </c>
      <c r="D58" s="293" t="str">
        <f>IF('Doc_Tables 2'!$B53&lt;&gt;"", 'Doc_Tables 2'!$C53, "N/A")</f>
        <v>N/A</v>
      </c>
      <c r="E58" s="294" t="str">
        <f t="shared" si="3"/>
        <v>N/A</v>
      </c>
      <c r="G58" s="284" t="str">
        <f>IF(OR('Project Info'!$B$20="SQ", Lotted?="No", No_Lots?&lt;4), "Shade", IF(Doc_Lot="All", "", "Shade"))</f>
        <v>Shade</v>
      </c>
      <c r="H58" s="295" t="str">
        <f>IF(AND(SUM(D55:D64)=B55, SUM(D53:D64)=100), "", "Error!")</f>
        <v>Error!</v>
      </c>
    </row>
    <row r="59" spans="1:8" ht="27.5" customHeight="1" thickBot="1">
      <c r="A59" s="539"/>
      <c r="B59" s="541"/>
      <c r="C59" s="292" t="str">
        <f>IF('Doc_Tables 2'!$B54&lt;&gt;"", 'Doc_Tables 2'!$D54, "[Remove row]")</f>
        <v>[Remove row]</v>
      </c>
      <c r="D59" s="293" t="str">
        <f>IF('Doc_Tables 2'!$B54&lt;&gt;"", 'Doc_Tables 2'!$C54, "N/A")</f>
        <v>N/A</v>
      </c>
      <c r="E59" s="294" t="str">
        <f t="shared" si="3"/>
        <v>N/A</v>
      </c>
      <c r="G59" s="284" t="str">
        <f>IF(OR('Project Info'!$B$20="SQ", Lotted?="No", No_Lots?&lt;4), "Shade", IF(Doc_Lot="All", "", "Shade"))</f>
        <v>Shade</v>
      </c>
      <c r="H59" s="295" t="str">
        <f>IF(AND(SUM(D55:D64)=B55, SUM(D53:D64)=100), "", "Error!")</f>
        <v>Error!</v>
      </c>
    </row>
    <row r="60" spans="1:8" ht="27.5" customHeight="1" thickBot="1">
      <c r="A60" s="539"/>
      <c r="B60" s="541"/>
      <c r="C60" s="292" t="str">
        <f>IF('Doc_Tables 2'!$B55&lt;&gt;"", 'Doc_Tables 2'!$D55, "[Remove row]")</f>
        <v>[Remove row]</v>
      </c>
      <c r="D60" s="293" t="str">
        <f>IF('Doc_Tables 2'!$B55&lt;&gt;"", 'Doc_Tables 2'!$C55, "N/A")</f>
        <v>N/A</v>
      </c>
      <c r="E60" s="294" t="str">
        <f t="shared" si="3"/>
        <v>N/A</v>
      </c>
      <c r="G60" s="284" t="str">
        <f>IF(OR('Project Info'!$B$20="SQ", Lotted?="No", No_Lots?&lt;4), "Shade", IF(Doc_Lot="All", "", "Shade"))</f>
        <v>Shade</v>
      </c>
      <c r="H60" s="295" t="str">
        <f>IF(AND(SUM(D55:D64)=B55, SUM(D53:D64)=100), "", "Error!")</f>
        <v>Error!</v>
      </c>
    </row>
    <row r="61" spans="1:8" ht="27.5" customHeight="1" thickBot="1">
      <c r="A61" s="539"/>
      <c r="B61" s="541"/>
      <c r="C61" s="292" t="str">
        <f>IF('Doc_Tables 2'!$B56&lt;&gt;"", 'Doc_Tables 2'!$D56, "[Remove row]")</f>
        <v>[Remove row]</v>
      </c>
      <c r="D61" s="293" t="str">
        <f>IF('Doc_Tables 2'!$B56&lt;&gt;"", 'Doc_Tables 2'!$C56, "N/A")</f>
        <v>N/A</v>
      </c>
      <c r="E61" s="294" t="str">
        <f t="shared" si="3"/>
        <v>N/A</v>
      </c>
      <c r="G61" s="284" t="str">
        <f>IF(OR('Project Info'!$B$20="SQ", Lotted?="No", No_Lots?&lt;4), "Shade", IF(Doc_Lot="All", "", "Shade"))</f>
        <v>Shade</v>
      </c>
      <c r="H61" s="295" t="str">
        <f>IF(AND(SUM(D55:D64)=B55, SUM(D53:D64)=100), "", "Error!")</f>
        <v>Error!</v>
      </c>
    </row>
    <row r="62" spans="1:8" ht="27.5" customHeight="1" thickBot="1">
      <c r="A62" s="539"/>
      <c r="B62" s="541"/>
      <c r="C62" s="292" t="str">
        <f>IF('Doc_Tables 2'!$B57&lt;&gt;"", 'Doc_Tables 2'!$D57, "[Remove row]")</f>
        <v>[Remove row]</v>
      </c>
      <c r="D62" s="293" t="str">
        <f>IF('Doc_Tables 2'!$B57&lt;&gt;"", 'Doc_Tables 2'!$C57, "N/A")</f>
        <v>N/A</v>
      </c>
      <c r="E62" s="294" t="str">
        <f t="shared" si="3"/>
        <v>N/A</v>
      </c>
      <c r="G62" s="284" t="str">
        <f>IF(OR('Project Info'!$B$20="SQ", Lotted?="No", No_Lots?&lt;4), "Shade", IF(Doc_Lot="All", "", "Shade"))</f>
        <v>Shade</v>
      </c>
      <c r="H62" s="295" t="str">
        <f>IF(AND(SUM(D55:D64)=B55, SUM(D53:D64)=100), "", "Error!")</f>
        <v>Error!</v>
      </c>
    </row>
    <row r="63" spans="1:8" ht="27.5" customHeight="1" thickBot="1">
      <c r="A63" s="539"/>
      <c r="B63" s="541"/>
      <c r="C63" s="292" t="str">
        <f>IF('Doc_Tables 2'!$B58&lt;&gt;"", 'Doc_Tables 2'!$D58, "[Remove row]")</f>
        <v>[Remove row]</v>
      </c>
      <c r="D63" s="293" t="str">
        <f>IF('Doc_Tables 2'!$B58&lt;&gt;"", 'Doc_Tables 2'!$C58, "N/A")</f>
        <v>N/A</v>
      </c>
      <c r="E63" s="294" t="str">
        <f t="shared" si="3"/>
        <v>N/A</v>
      </c>
      <c r="G63" s="284" t="str">
        <f>IF(OR('Project Info'!$B$20="SQ", Lotted?="No", No_Lots?&lt;4), "Shade", IF(Doc_Lot="All", "", "Shade"))</f>
        <v>Shade</v>
      </c>
      <c r="H63" s="295" t="str">
        <f>IF(AND(SUM(D55:D64)=B55, SUM(D53:D64)=100), "", "Error!")</f>
        <v>Error!</v>
      </c>
    </row>
    <row r="64" spans="1:8" ht="27.5" customHeight="1" thickBot="1">
      <c r="A64" s="538"/>
      <c r="B64" s="542"/>
      <c r="C64" s="292" t="str">
        <f>IF('Doc_Tables 2'!$B59&lt;&gt;"", 'Doc_Tables 2'!$D59, "[Remove row]")</f>
        <v>[Remove row]</v>
      </c>
      <c r="D64" s="293" t="str">
        <f>IF('Doc_Tables 2'!$B59&lt;&gt;"", 'Doc_Tables 2'!$C59, "N/A")</f>
        <v>N/A</v>
      </c>
      <c r="E64" s="294" t="str">
        <f t="shared" si="3"/>
        <v>N/A</v>
      </c>
      <c r="G64" s="284" t="str">
        <f>IF(OR('Project Info'!$B$20="SQ", Lotted?="No", No_Lots?&lt;4), "Shade", IF(Doc_Lot="All", "", "Shade"))</f>
        <v>Shade</v>
      </c>
      <c r="H64" s="295" t="str">
        <f>IF(AND(SUM(D55:D64)=B55, SUM(D53:D64)=100), "", "Error!")</f>
        <v>Error!</v>
      </c>
    </row>
    <row r="66" spans="1:8" ht="14" thickBot="1"/>
    <row r="67" spans="1:8" ht="14" thickBot="1">
      <c r="C67" s="287" t="e">
        <f>IF(AND(Lotted?="Yes", No_Lots?&gt;=5), IF(Doc_Lot="All", CONCATENATE("Lot 5:  ", TBL_003_DocMerge[[#This Row],[Lot_5_Name]]), "Ignore this table"), "Ignore this table")</f>
        <v>#VALUE!</v>
      </c>
      <c r="D67" s="288"/>
      <c r="E67" s="289"/>
      <c r="G67" s="284" t="str">
        <f>IF(OR('Project Info'!$B$20="SQ", Lotted?="No", No_Lots?&lt;4), "Shade", IF(Doc_Lot="All", "", "Shade"))</f>
        <v>Shade</v>
      </c>
    </row>
    <row r="68" spans="1:8" ht="29" thickBot="1">
      <c r="C68" s="291" t="s">
        <v>964</v>
      </c>
      <c r="D68" s="291" t="s">
        <v>965</v>
      </c>
      <c r="E68" s="291" t="s">
        <v>966</v>
      </c>
      <c r="G68" s="284" t="str">
        <f>IF(OR('Project Info'!$B$20="SQ", Lotted?="No", No_Lots?&lt;4), "Shade", IF(Doc_Lot="All", "", "Shade"))</f>
        <v>Shade</v>
      </c>
    </row>
    <row r="69" spans="1:8" ht="27.5" customHeight="1" thickBot="1">
      <c r="A69" s="537" t="s">
        <v>958</v>
      </c>
      <c r="B69" s="540">
        <f>Tech_split</f>
        <v>0</v>
      </c>
      <c r="C69" s="292" t="str">
        <f>IF(Price_split=100, "[Remove row]", "Part 4 - Project Delivery questions")</f>
        <v>Part 4 - Project Delivery questions</v>
      </c>
      <c r="D69" s="293">
        <f>Tech_Weighting</f>
        <v>0</v>
      </c>
      <c r="E69" s="294" t="e">
        <f>IF(Tech_Weighted?="Yes", "Sum of the weighted questions", CONCATENATE("([Tenderer’s total mark for the questions] ÷ ", IF(Tech_Same_Qs?="Yes", Tech_Points_Lot_1, Tech_Points_Lot_5), ".00 ) x  ", D69, ".00"))</f>
        <v>#REF!</v>
      </c>
      <c r="G69" s="284" t="str">
        <f>IF(OR('Project Info'!$B$20="SQ", Lotted?="No", No_Lots?&lt;4), "Shade", IF(Doc_Lot="All", "", "Shade"))</f>
        <v>Shade</v>
      </c>
      <c r="H69" s="295" t="str">
        <f>IF(AND(SUM(D69:D70)=B69, SUM(D69:D80)=100), "", "Error!")</f>
        <v>Error!</v>
      </c>
    </row>
    <row r="70" spans="1:8" ht="27.5" customHeight="1" thickBot="1">
      <c r="A70" s="538"/>
      <c r="B70" s="542"/>
      <c r="C70" s="292" t="str">
        <f>IF(Price_split=100,"[Remove row]",IF(Int_or_SV="Not applicable","[Remove row]",CONCATENATE("Part 5 - ",Int_or_SV," questions")))</f>
        <v>[Remove row]</v>
      </c>
      <c r="D70" s="293">
        <f>IntSV_Weighting</f>
        <v>0</v>
      </c>
      <c r="E70" s="294" t="str">
        <f>IF(Int_or_SV="Not applicable", "N/A", IF(IntSV_Weighted?="Yes", "Sum of the weighted questions", CONCATENATE("([Tenderer’s total mark for Questions] ÷ ", IF(IntSV_Same_Qs?="Yes", IntSV_Points_Lot_1, IntSV_Points_Lot_5), ".00 ) x  ", D54, ".00")))</f>
        <v>N/A</v>
      </c>
      <c r="G70" s="284" t="str">
        <f>IF(OR('Project Info'!$B$20="SQ", Lotted?="No", No_Lots?&lt;4), "Shade", IF(Doc_Lot="All", "", "Shade"))</f>
        <v>Shade</v>
      </c>
      <c r="H70" s="295" t="str">
        <f>IF(AND(SUM(D69:D70)=B69, SUM(D69:D80)=100), "", "Error!")</f>
        <v>Error!</v>
      </c>
    </row>
    <row r="71" spans="1:8" ht="27.5" customHeight="1" thickBot="1">
      <c r="A71" s="537" t="s">
        <v>967</v>
      </c>
      <c r="B71" s="540">
        <f>Price_split</f>
        <v>0</v>
      </c>
      <c r="C71" s="292" t="str">
        <f>IF('Doc_Tables 2'!$B65&lt;&gt;"", 'Doc_Tables 2'!$D65, "Add info on 'Doc_Tables 1' tab")</f>
        <v>Add info on 'Doc_Tables 1' tab</v>
      </c>
      <c r="D71" s="293" t="str">
        <f>IF('Doc_Tables 2'!$B65&lt;&gt;"", 'Doc_Tables 2'!$C65, "N/A")</f>
        <v>N/A</v>
      </c>
      <c r="E71" s="294" t="str">
        <f>IF(D71="N/A", D71, CONCATENATE(D71, ".00  - [Tenderer's price - lowest price) ÷ lowest price] x ", D71, ".00"))</f>
        <v>N/A</v>
      </c>
      <c r="G71" s="284" t="str">
        <f>IF(OR('Project Info'!$B$20="SQ", Lotted?="No", No_Lots?&lt;4), "Shade", IF(Doc_Lot="All", "", "Shade"))</f>
        <v>Shade</v>
      </c>
      <c r="H71" s="295" t="str">
        <f>IF(AND(SUM(D71:D80)=B71, SUM(D69:D80)=100), "", "Error!")</f>
        <v>Error!</v>
      </c>
    </row>
    <row r="72" spans="1:8" ht="27.5" customHeight="1" thickBot="1">
      <c r="A72" s="539"/>
      <c r="B72" s="541"/>
      <c r="C72" s="292" t="str">
        <f>IF('Doc_Tables 2'!$B66&lt;&gt;"", 'Doc_Tables 2'!$D66, "[Remove row]")</f>
        <v>[Remove row]</v>
      </c>
      <c r="D72" s="293" t="str">
        <f>IF('Doc_Tables 2'!$B66&lt;&gt;"", 'Doc_Tables 2'!$C66, "N/A")</f>
        <v>N/A</v>
      </c>
      <c r="E72" s="294" t="str">
        <f t="shared" ref="E72:E80" si="4">IF(D72="N/A", D72, CONCATENATE(D72, ".00  - [Tenderer's price - lowest price) ÷ lowest price] x ", D72, ".00"))</f>
        <v>N/A</v>
      </c>
      <c r="G72" s="284" t="str">
        <f>IF(OR('Project Info'!$B$20="SQ", Lotted?="No", No_Lots?&lt;4), "Shade", IF(Doc_Lot="All", "", "Shade"))</f>
        <v>Shade</v>
      </c>
      <c r="H72" s="295" t="str">
        <f>IF(AND(SUM(D71:D80)=B71, SUM(D69:D80)=100), "", "Error!")</f>
        <v>Error!</v>
      </c>
    </row>
    <row r="73" spans="1:8" ht="27.5" customHeight="1" thickBot="1">
      <c r="A73" s="539"/>
      <c r="B73" s="541"/>
      <c r="C73" s="292" t="str">
        <f>IF('Doc_Tables 2'!$B67&lt;&gt;"", 'Doc_Tables 2'!$D67, "[Remove row]")</f>
        <v>[Remove row]</v>
      </c>
      <c r="D73" s="293" t="str">
        <f>IF('Doc_Tables 2'!$B67&lt;&gt;"", 'Doc_Tables 2'!$C67, "N/A")</f>
        <v>N/A</v>
      </c>
      <c r="E73" s="294" t="str">
        <f t="shared" si="4"/>
        <v>N/A</v>
      </c>
      <c r="G73" s="284" t="str">
        <f>IF(OR('Project Info'!$B$20="SQ", Lotted?="No", No_Lots?&lt;4), "Shade", IF(Doc_Lot="All", "", "Shade"))</f>
        <v>Shade</v>
      </c>
      <c r="H73" s="295" t="str">
        <f>IF(AND(SUM(D71:D80)=B71, SUM(D69:D80)=100), "", "Error!")</f>
        <v>Error!</v>
      </c>
    </row>
    <row r="74" spans="1:8" ht="27.5" customHeight="1" thickBot="1">
      <c r="A74" s="539"/>
      <c r="B74" s="541"/>
      <c r="C74" s="292" t="str">
        <f>IF('Doc_Tables 2'!$B68&lt;&gt;"", 'Doc_Tables 2'!$D68, "[Remove row]")</f>
        <v>[Remove row]</v>
      </c>
      <c r="D74" s="293" t="str">
        <f>IF('Doc_Tables 2'!$B68&lt;&gt;"", 'Doc_Tables 2'!$C68, "N/A")</f>
        <v>N/A</v>
      </c>
      <c r="E74" s="294" t="str">
        <f t="shared" si="4"/>
        <v>N/A</v>
      </c>
      <c r="G74" s="284" t="str">
        <f>IF(OR('Project Info'!$B$20="SQ", Lotted?="No", No_Lots?&lt;4), "Shade", IF(Doc_Lot="All", "", "Shade"))</f>
        <v>Shade</v>
      </c>
      <c r="H74" s="295" t="str">
        <f>IF(AND(SUM(D71:D80)=B71, SUM(D69:D80)=100), "", "Error!")</f>
        <v>Error!</v>
      </c>
    </row>
    <row r="75" spans="1:8" ht="27.5" customHeight="1" thickBot="1">
      <c r="A75" s="539"/>
      <c r="B75" s="541"/>
      <c r="C75" s="292" t="str">
        <f>IF('Doc_Tables 2'!$B69&lt;&gt;"", 'Doc_Tables 2'!$D69, "[Remove row]")</f>
        <v>[Remove row]</v>
      </c>
      <c r="D75" s="293" t="str">
        <f>IF('Doc_Tables 2'!$B69&lt;&gt;"", 'Doc_Tables 2'!$C69, "N/A")</f>
        <v>N/A</v>
      </c>
      <c r="E75" s="294" t="str">
        <f t="shared" si="4"/>
        <v>N/A</v>
      </c>
      <c r="G75" s="284" t="str">
        <f>IF(OR('Project Info'!$B$20="SQ", Lotted?="No", No_Lots?&lt;4), "Shade", IF(Doc_Lot="All", "", "Shade"))</f>
        <v>Shade</v>
      </c>
      <c r="H75" s="295" t="str">
        <f>IF(AND(SUM(D71:D80)=B71, SUM(D69:D80)=100), "", "Error!")</f>
        <v>Error!</v>
      </c>
    </row>
    <row r="76" spans="1:8" ht="27.5" customHeight="1" thickBot="1">
      <c r="A76" s="539"/>
      <c r="B76" s="541"/>
      <c r="C76" s="292" t="str">
        <f>IF('Doc_Tables 2'!$B70&lt;&gt;"", 'Doc_Tables 2'!$D70, "[Remove row]")</f>
        <v>[Remove row]</v>
      </c>
      <c r="D76" s="293" t="str">
        <f>IF('Doc_Tables 2'!$B70&lt;&gt;"", 'Doc_Tables 2'!$C70, "N/A")</f>
        <v>N/A</v>
      </c>
      <c r="E76" s="294" t="str">
        <f t="shared" si="4"/>
        <v>N/A</v>
      </c>
      <c r="G76" s="284" t="str">
        <f>IF(OR('Project Info'!$B$20="SQ", Lotted?="No", No_Lots?&lt;4), "Shade", IF(Doc_Lot="All", "", "Shade"))</f>
        <v>Shade</v>
      </c>
      <c r="H76" s="295" t="str">
        <f>IF(AND(SUM(D71:D80)=B71, SUM(D69:D80)=100), "", "Error!")</f>
        <v>Error!</v>
      </c>
    </row>
    <row r="77" spans="1:8" ht="27.5" customHeight="1" thickBot="1">
      <c r="A77" s="539"/>
      <c r="B77" s="541"/>
      <c r="C77" s="292" t="str">
        <f>IF('Doc_Tables 2'!$B71&lt;&gt;"", 'Doc_Tables 2'!$D71, "[Remove row]")</f>
        <v>[Remove row]</v>
      </c>
      <c r="D77" s="293" t="str">
        <f>IF('Doc_Tables 2'!$B71&lt;&gt;"", 'Doc_Tables 2'!$C71, "N/A")</f>
        <v>N/A</v>
      </c>
      <c r="E77" s="294" t="str">
        <f t="shared" si="4"/>
        <v>N/A</v>
      </c>
      <c r="G77" s="284" t="str">
        <f>IF(OR('Project Info'!$B$20="SQ", Lotted?="No", No_Lots?&lt;4), "Shade", IF(Doc_Lot="All", "", "Shade"))</f>
        <v>Shade</v>
      </c>
      <c r="H77" s="295" t="str">
        <f>IF(AND(SUM(D71:D80)=B71, SUM(D69:D80)=100), "", "Error!")</f>
        <v>Error!</v>
      </c>
    </row>
    <row r="78" spans="1:8" ht="27.5" customHeight="1" thickBot="1">
      <c r="A78" s="539"/>
      <c r="B78" s="541"/>
      <c r="C78" s="292" t="str">
        <f>IF('Doc_Tables 2'!$B72&lt;&gt;"", 'Doc_Tables 2'!$D72, "[Remove row]")</f>
        <v>[Remove row]</v>
      </c>
      <c r="D78" s="293" t="str">
        <f>IF('Doc_Tables 2'!$B72&lt;&gt;"", 'Doc_Tables 2'!$C72, "N/A")</f>
        <v>N/A</v>
      </c>
      <c r="E78" s="294" t="str">
        <f t="shared" si="4"/>
        <v>N/A</v>
      </c>
      <c r="G78" s="284" t="str">
        <f>IF(OR('Project Info'!$B$20="SQ", Lotted?="No", No_Lots?&lt;4), "Shade", IF(Doc_Lot="All", "", "Shade"))</f>
        <v>Shade</v>
      </c>
      <c r="H78" s="295" t="str">
        <f>IF(AND(SUM(D71:D80)=B71, SUM(D69:D80)=100), "", "Error!")</f>
        <v>Error!</v>
      </c>
    </row>
    <row r="79" spans="1:8" ht="27.5" customHeight="1" thickBot="1">
      <c r="A79" s="539"/>
      <c r="B79" s="541"/>
      <c r="C79" s="292" t="str">
        <f>IF('Doc_Tables 2'!$B73&lt;&gt;"", 'Doc_Tables 2'!$D73, "[Remove row]")</f>
        <v>[Remove row]</v>
      </c>
      <c r="D79" s="293" t="str">
        <f>IF('Doc_Tables 2'!$B73&lt;&gt;"", 'Doc_Tables 2'!$C73, "N/A")</f>
        <v>N/A</v>
      </c>
      <c r="E79" s="294" t="str">
        <f t="shared" si="4"/>
        <v>N/A</v>
      </c>
      <c r="G79" s="284" t="str">
        <f>IF(OR('Project Info'!$B$20="SQ", Lotted?="No", No_Lots?&lt;4), "Shade", IF(Doc_Lot="All", "", "Shade"))</f>
        <v>Shade</v>
      </c>
      <c r="H79" s="295" t="str">
        <f>IF(AND(SUM(D71:D80)=B71, SUM(D69:D80)=100), "", "Error!")</f>
        <v>Error!</v>
      </c>
    </row>
    <row r="80" spans="1:8" ht="27.5" customHeight="1" thickBot="1">
      <c r="A80" s="538"/>
      <c r="B80" s="542"/>
      <c r="C80" s="292" t="str">
        <f>IF('Doc_Tables 2'!$B74&lt;&gt;"", 'Doc_Tables 2'!$D74, "[Remove row]")</f>
        <v>[Remove row]</v>
      </c>
      <c r="D80" s="293" t="str">
        <f>IF('Doc_Tables 2'!$B74&lt;&gt;"", 'Doc_Tables 2'!$C74, "N/A")</f>
        <v>N/A</v>
      </c>
      <c r="E80" s="294" t="str">
        <f t="shared" si="4"/>
        <v>N/A</v>
      </c>
      <c r="G80" s="284" t="str">
        <f>IF(OR('Project Info'!$B$20="SQ", Lotted?="No", No_Lots?&lt;4), "Shade", IF(Doc_Lot="All", "", "Shade"))</f>
        <v>Shade</v>
      </c>
      <c r="H80" s="295" t="str">
        <f>IF(AND(SUM(D71:D80)=B71, SUM(D69:D80)=100), "", "Error!")</f>
        <v>Error!</v>
      </c>
    </row>
  </sheetData>
  <sheetProtection algorithmName="SHA-512" hashValue="8q/m8+HvXAFX16WPLQRTaAdeac5hiX95weqshoz+8cZSLE17x/pzxP+92cFDp1K53hzR7/JFsjiws5NCabAy6g==" saltValue="1zfI7Ea7LeVLEhd8p5DrjQ==" spinCount="100000" sheet="1" objects="1" scenarios="1"/>
  <protectedRanges>
    <protectedRange sqref="C69:D80 A76:B80 A69:B69 A71:B74 C53:D64 A60:B64 A53:B53 A55:B58 C37:D48 A44:B48 A37:B37 A39:B42 C21:D32 A28:B32 A21:B21 A23:B26 C5:D16 A12:B16 A5:B5 A7:B10" name="Range1"/>
  </protectedRanges>
  <mergeCells count="20">
    <mergeCell ref="A39:A48"/>
    <mergeCell ref="B39:B48"/>
    <mergeCell ref="A5:A6"/>
    <mergeCell ref="A7:A16"/>
    <mergeCell ref="A21:A22"/>
    <mergeCell ref="A23:A32"/>
    <mergeCell ref="A37:A38"/>
    <mergeCell ref="B37:B38"/>
    <mergeCell ref="B23:B32"/>
    <mergeCell ref="B21:B22"/>
    <mergeCell ref="B7:B16"/>
    <mergeCell ref="B5:B6"/>
    <mergeCell ref="A53:A54"/>
    <mergeCell ref="A55:A64"/>
    <mergeCell ref="A69:A70"/>
    <mergeCell ref="A71:A80"/>
    <mergeCell ref="B71:B80"/>
    <mergeCell ref="B69:B70"/>
    <mergeCell ref="B55:B64"/>
    <mergeCell ref="B53:B54"/>
  </mergeCells>
  <conditionalFormatting sqref="A81:E1048576 C72:E80 A71:E71 C70:E70 A65:E69 C56:E64 A55:E55 C54:E54 A49:E53 C40:E48 A39:E39 C38:E38 A33:E37 C24:E32 A23:E23 C22:E22 A17:E21 C8:E16 A7:E7 C6:E6 A1:E5">
    <cfRule type="expression" dxfId="271" priority="1">
      <formula>INDIRECT("G"&amp;ROW())="Shade"</formula>
    </cfRule>
  </conditionalFormatting>
  <conditionalFormatting sqref="D1:D1048576 B81:B1048576 B71 B65:B69 B55 B49:B53 B39 B33:B37 B23 B17:B21 B7 B1:B5">
    <cfRule type="expression" dxfId="270" priority="2">
      <formula>INDIRECT("H"&amp;ROW())="Error!"</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B26"/>
  <sheetViews>
    <sheetView showGridLines="0" topLeftCell="A16" zoomScaleNormal="100" workbookViewId="0"/>
  </sheetViews>
  <sheetFormatPr baseColWidth="10" defaultColWidth="9" defaultRowHeight="14"/>
  <cols>
    <col min="1" max="1" width="79.83203125" style="49" customWidth="1"/>
    <col min="2" max="16384" width="9" style="49"/>
  </cols>
  <sheetData>
    <row r="1" spans="1:2" s="56"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row>
    <row r="2" spans="1:2" s="56" customFormat="1" ht="12.5" customHeight="1">
      <c r="A2" s="347" t="str">
        <f t="array" ref="A2">CONCATENATE(INDEX(TBL_003_DocMerge[Supplier_Type], MATCH(1, (Doc_Lot=TBL_003_DocMerge[Lot])*(Job_No=TBL_003_DocMerge[Job_No]),0)), ": ", INDEX(TBL_003_DocMerge[Supplier_Name], MATCH(1, (Doc_Lot=TBL_003_DocMerge[Lot])*(Job_No=TBL_003_DocMerge[Job_No]),0)))</f>
        <v xml:space="preserve">Candidate: </v>
      </c>
    </row>
    <row r="3" spans="1:2" s="56" customFormat="1" ht="12.5" customHeight="1"/>
    <row r="4" spans="1:2" s="178" customFormat="1" ht="18">
      <c r="A4" s="420" t="s">
        <v>187</v>
      </c>
      <c r="B4" s="348"/>
    </row>
    <row r="5" spans="1:2" s="40" customFormat="1" ht="13"/>
    <row r="6" spans="1:2" s="40" customFormat="1" ht="17">
      <c r="A6" s="182" t="s">
        <v>188</v>
      </c>
    </row>
    <row r="7" spans="1:2" s="40" customFormat="1" ht="13">
      <c r="A7" s="51"/>
    </row>
    <row r="8" spans="1:2" s="40" customFormat="1" ht="56">
      <c r="A8" s="52" t="s">
        <v>696</v>
      </c>
    </row>
    <row r="9" spans="1:2" s="40" customFormat="1" ht="13">
      <c r="A9" s="39"/>
    </row>
    <row r="10" spans="1:2" s="40" customFormat="1" ht="126">
      <c r="A10" s="39" t="s">
        <v>189</v>
      </c>
    </row>
    <row r="11" spans="1:2" s="40" customFormat="1" ht="13">
      <c r="A11" s="39"/>
    </row>
    <row r="12" spans="1:2" s="40" customFormat="1" ht="28">
      <c r="A12" s="39" t="s">
        <v>190</v>
      </c>
    </row>
    <row r="13" spans="1:2" s="40" customFormat="1" ht="13">
      <c r="A13" s="39"/>
    </row>
    <row r="14" spans="1:2" s="40" customFormat="1" ht="17">
      <c r="A14" s="182" t="s">
        <v>191</v>
      </c>
    </row>
    <row r="15" spans="1:2" s="40" customFormat="1" ht="13">
      <c r="A15" s="39"/>
    </row>
    <row r="16" spans="1:2" s="40" customFormat="1" ht="56">
      <c r="A16" s="39" t="s">
        <v>192</v>
      </c>
    </row>
    <row r="17" spans="1:1" s="40" customFormat="1" ht="13">
      <c r="A17" s="39"/>
    </row>
    <row r="18" spans="1:1" s="40" customFormat="1" ht="42">
      <c r="A18" s="39" t="s">
        <v>193</v>
      </c>
    </row>
    <row r="19" spans="1:1" s="40" customFormat="1" ht="13">
      <c r="A19" s="39"/>
    </row>
    <row r="20" spans="1:1" s="40" customFormat="1" ht="17">
      <c r="A20" s="182" t="s">
        <v>194</v>
      </c>
    </row>
    <row r="21" spans="1:1" s="40" customFormat="1" ht="13">
      <c r="A21" s="39"/>
    </row>
    <row r="22" spans="1:1" s="40" customFormat="1" ht="98">
      <c r="A22" s="39" t="s">
        <v>195</v>
      </c>
    </row>
    <row r="23" spans="1:1">
      <c r="A23" s="54"/>
    </row>
    <row r="24" spans="1:1">
      <c r="A24" s="278" t="s">
        <v>924</v>
      </c>
    </row>
    <row r="25" spans="1:1" ht="24">
      <c r="A25" s="55" t="s">
        <v>196</v>
      </c>
    </row>
    <row r="26" spans="1:1">
      <c r="A26" s="56"/>
    </row>
  </sheetData>
  <sheetProtection algorithmName="SHA-512" hashValue="TMS/OPu1+nXXNfpkdQ01vCjvonWspOTtqrCyxeFcN0+b1a7SWD9dMAtxJqdBhFD2uTdsBWZFJHI6QmBo3XPoPA==" saltValue="1SCL3BloClLKlC2WtbX8NA==" spinCount="100000" sheet="1" objects="1" scenarios="1"/>
  <hyperlinks>
    <hyperlink ref="A25" r:id="rId1" xr:uid="{00000000-0004-0000-0700-000000000000}"/>
    <hyperlink ref="A8" location="Footnote_1" display="The standard Selection Questionnaire is a self-declaration, made by you (the potential supplier), that you do not meet any of the grounds for exclusion[1].  If there are grounds for exclusion, there is an opportunity to explain the background and any meas" xr:uid="{00000000-0004-0000-0700-000001000000}"/>
  </hyperlinks>
  <pageMargins left="0.78740157480314965" right="0.78740157480314965" top="0.39370078740157483" bottom="0.78740157480314965" header="0" footer="0.39370078740157483"/>
  <pageSetup paperSize="9" orientation="portrait" horizontalDpi="4294967293" verticalDpi="4294967293" r:id="rId2"/>
  <headerFooter>
    <oddFooter>&amp;C&amp;"Arial,Regular"&amp;10&amp;K00-049&amp;P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J24"/>
  <sheetViews>
    <sheetView showGridLines="0" zoomScaleNormal="100" workbookViewId="0"/>
  </sheetViews>
  <sheetFormatPr baseColWidth="10" defaultColWidth="9" defaultRowHeight="14"/>
  <cols>
    <col min="1" max="1" width="9.5" style="57" customWidth="1"/>
    <col min="2" max="2" width="70.33203125" style="174" customWidth="1"/>
    <col min="3" max="3" width="9" style="49"/>
    <col min="4" max="4" width="9.1640625" style="49" customWidth="1"/>
    <col min="5" max="5" width="10.33203125" style="49" customWidth="1"/>
    <col min="6" max="10" width="9.1640625" style="49" customWidth="1"/>
    <col min="11" max="16384" width="9" style="49"/>
  </cols>
  <sheetData>
    <row r="1" spans="1:10" s="56"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row>
    <row r="2" spans="1:10" s="56"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row>
    <row r="3" spans="1:10" s="56" customFormat="1" ht="12.5" customHeight="1">
      <c r="A3" s="443"/>
      <c r="B3" s="278"/>
    </row>
    <row r="4" spans="1:10" s="178" customFormat="1" ht="18">
      <c r="A4" s="544" t="str">
        <f t="array" ref="A4">INDEX(TBL_003_DocMerge[Project_Title],MATCH(1,(Doc_Lot=TBL_003_DocMerge[Lot])*(Job_No=TBL_003_DocMerge[Job_No]),0))</f>
        <v>Dynamic Purchasing System - Responsive Repairs and Voids</v>
      </c>
      <c r="B4" s="544"/>
    </row>
    <row r="5" spans="1:10" s="178" customFormat="1" ht="18">
      <c r="A5" s="261"/>
    </row>
    <row r="6" spans="1:10" s="178" customFormat="1" ht="18">
      <c r="A6" s="544" t="str">
        <f>Job_No</f>
        <v>T1-5622</v>
      </c>
      <c r="B6" s="544"/>
    </row>
    <row r="7" spans="1:10" s="178" customFormat="1" ht="18">
      <c r="A7" s="261"/>
    </row>
    <row r="8" spans="1:10" s="178" customFormat="1" ht="16">
      <c r="A8" s="338" t="s">
        <v>120</v>
      </c>
    </row>
    <row r="9" spans="1:10">
      <c r="A9" s="164"/>
      <c r="B9" s="175"/>
      <c r="C9" s="40"/>
      <c r="D9" s="40"/>
      <c r="E9" s="40"/>
      <c r="F9" s="40"/>
      <c r="G9" s="40"/>
      <c r="H9" s="40"/>
      <c r="I9" s="40"/>
      <c r="J9" s="40"/>
    </row>
    <row r="10" spans="1:10" ht="42">
      <c r="A10" s="183">
        <v>1</v>
      </c>
      <c r="B10" s="41" t="s">
        <v>199</v>
      </c>
      <c r="C10" s="40"/>
      <c r="D10" s="40"/>
      <c r="E10" s="40"/>
      <c r="F10" s="40"/>
      <c r="G10" s="40"/>
      <c r="H10" s="40"/>
      <c r="I10" s="40"/>
      <c r="J10" s="40"/>
    </row>
    <row r="11" spans="1:10">
      <c r="A11" s="183"/>
      <c r="B11" s="41"/>
      <c r="C11" s="40"/>
      <c r="D11" s="40"/>
      <c r="E11" s="40"/>
      <c r="F11" s="40"/>
      <c r="G11" s="40"/>
      <c r="H11" s="40"/>
      <c r="I11" s="40"/>
      <c r="J11" s="40"/>
    </row>
    <row r="12" spans="1:10" ht="98">
      <c r="A12" s="183">
        <v>2</v>
      </c>
      <c r="B12" s="41" t="s">
        <v>200</v>
      </c>
      <c r="C12" s="40"/>
      <c r="D12" s="40"/>
      <c r="E12" s="40"/>
      <c r="F12" s="40"/>
      <c r="G12" s="40"/>
      <c r="H12" s="40"/>
      <c r="I12" s="40"/>
      <c r="J12" s="40"/>
    </row>
    <row r="13" spans="1:10">
      <c r="A13" s="183"/>
      <c r="B13" s="41"/>
      <c r="C13" s="40"/>
      <c r="D13" s="40"/>
      <c r="E13" s="40"/>
      <c r="F13" s="40"/>
      <c r="G13" s="40"/>
      <c r="H13" s="40"/>
      <c r="I13" s="40"/>
      <c r="J13" s="40"/>
    </row>
    <row r="14" spans="1:10" ht="56">
      <c r="A14" s="183">
        <v>3</v>
      </c>
      <c r="B14" s="41" t="s">
        <v>201</v>
      </c>
      <c r="C14" s="40"/>
      <c r="D14" s="40"/>
      <c r="E14" s="40"/>
      <c r="F14" s="40"/>
      <c r="G14" s="40"/>
      <c r="H14" s="40"/>
      <c r="I14" s="40"/>
      <c r="J14" s="40"/>
    </row>
    <row r="15" spans="1:10">
      <c r="A15" s="183"/>
      <c r="B15" s="41"/>
      <c r="C15" s="40"/>
      <c r="D15" s="40"/>
      <c r="E15" s="40"/>
      <c r="F15" s="40"/>
      <c r="G15" s="40"/>
      <c r="H15" s="40"/>
      <c r="I15" s="40"/>
      <c r="J15" s="40"/>
    </row>
    <row r="16" spans="1:10" ht="112">
      <c r="A16" s="183">
        <v>4</v>
      </c>
      <c r="B16" s="41" t="s">
        <v>202</v>
      </c>
      <c r="C16" s="40"/>
      <c r="D16" s="40"/>
      <c r="E16" s="40"/>
      <c r="F16" s="40"/>
      <c r="G16" s="40"/>
      <c r="H16" s="40"/>
      <c r="I16" s="40"/>
      <c r="J16" s="40"/>
    </row>
    <row r="17" spans="1:10">
      <c r="A17" s="183"/>
      <c r="B17" s="41"/>
      <c r="C17" s="40"/>
      <c r="D17" s="40"/>
      <c r="E17" s="40"/>
      <c r="F17" s="40"/>
      <c r="G17" s="40"/>
      <c r="H17" s="40"/>
      <c r="I17" s="40"/>
      <c r="J17" s="40"/>
    </row>
    <row r="18" spans="1:10" ht="28">
      <c r="A18" s="183">
        <v>5</v>
      </c>
      <c r="B18" s="41" t="s">
        <v>203</v>
      </c>
      <c r="C18" s="40"/>
      <c r="D18" s="40"/>
      <c r="E18" s="40"/>
      <c r="F18" s="40"/>
      <c r="G18" s="40"/>
      <c r="H18" s="40"/>
      <c r="I18" s="40"/>
      <c r="J18" s="40"/>
    </row>
    <row r="19" spans="1:10">
      <c r="A19" s="183"/>
      <c r="B19" s="41"/>
      <c r="C19" s="40"/>
      <c r="D19" s="40"/>
      <c r="E19" s="40"/>
      <c r="F19" s="40"/>
      <c r="G19" s="40"/>
      <c r="H19" s="40"/>
      <c r="I19" s="40"/>
      <c r="J19" s="40"/>
    </row>
    <row r="20" spans="1:10" ht="56">
      <c r="A20" s="183">
        <v>6</v>
      </c>
      <c r="B20" s="41" t="s">
        <v>204</v>
      </c>
      <c r="C20" s="40"/>
      <c r="D20" s="40"/>
      <c r="E20" s="40"/>
      <c r="F20" s="40"/>
      <c r="G20" s="40"/>
      <c r="H20" s="40"/>
      <c r="I20" s="40"/>
      <c r="J20" s="40"/>
    </row>
    <row r="21" spans="1:10">
      <c r="A21" s="176"/>
      <c r="B21" s="41"/>
      <c r="C21" s="40"/>
      <c r="D21" s="40"/>
      <c r="E21" s="40"/>
      <c r="F21" s="40"/>
      <c r="G21" s="40"/>
      <c r="H21" s="40"/>
      <c r="I21" s="40"/>
      <c r="J21" s="40"/>
    </row>
    <row r="22" spans="1:10" ht="70">
      <c r="A22" s="176"/>
      <c r="B22" s="41" t="s">
        <v>205</v>
      </c>
      <c r="C22" s="40"/>
      <c r="D22" s="40"/>
      <c r="E22" s="40"/>
      <c r="F22" s="40"/>
      <c r="G22" s="40"/>
      <c r="H22" s="40"/>
      <c r="I22" s="40"/>
      <c r="J22" s="40"/>
    </row>
    <row r="23" spans="1:10">
      <c r="A23" s="176"/>
      <c r="B23" s="18"/>
      <c r="C23" s="40"/>
      <c r="D23" s="40"/>
      <c r="E23" s="40"/>
      <c r="F23" s="40"/>
      <c r="G23" s="40"/>
      <c r="H23" s="40"/>
      <c r="I23" s="40"/>
      <c r="J23" s="40"/>
    </row>
    <row r="24" spans="1:10">
      <c r="A24" s="132"/>
      <c r="B24" s="41"/>
      <c r="C24" s="40"/>
      <c r="D24" s="40"/>
      <c r="E24" s="40"/>
      <c r="F24" s="40"/>
      <c r="G24" s="40"/>
      <c r="H24" s="40"/>
      <c r="I24" s="40"/>
      <c r="J24" s="40"/>
    </row>
  </sheetData>
  <sheetProtection algorithmName="SHA-512" hashValue="Xk5nLRVjiXRmILpEidJLJlOdeA4HYi+LH9EIXrrz3zK2v7Gc6/fQolU8qyAQWmsS6uk8MwYk6a1QPVS3Lk2jRg==" saltValue="luhi185138pxSRuvQGQs8Q==" spinCount="100000" sheet="1" objects="1" scenarios="1"/>
  <mergeCells count="2">
    <mergeCell ref="A4:B4"/>
    <mergeCell ref="A6:B6"/>
  </mergeCells>
  <pageMargins left="0.78740157480314965" right="0.78740157480314965" top="0.39370078740157483" bottom="0.78740157480314965" header="0" footer="0.39370078740157483"/>
  <pageSetup paperSize="9" orientation="portrait" horizontalDpi="4294967293" verticalDpi="4294967293" r:id="rId1"/>
  <headerFooter>
    <oddFooter>&amp;C&amp;"Arial,Regular"&amp;10&amp;K00-049&amp;P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185A-7FC2-4BE7-BC73-1F8149648B1F}">
  <sheetPr codeName="Sheet22"/>
  <dimension ref="A1:K34"/>
  <sheetViews>
    <sheetView showGridLines="0" zoomScaleNormal="100" workbookViewId="0"/>
  </sheetViews>
  <sheetFormatPr baseColWidth="10" defaultColWidth="9" defaultRowHeight="14"/>
  <cols>
    <col min="1" max="1" width="9.5" style="170" customWidth="1"/>
    <col min="2" max="2" width="44.6640625" style="133" customWidth="1"/>
    <col min="3" max="3" width="12.6640625" style="66" customWidth="1"/>
    <col min="4" max="4" width="5.5" style="134" hidden="1" customWidth="1"/>
    <col min="5" max="5" width="10.5" style="134" hidden="1" customWidth="1"/>
    <col min="6" max="6" width="10.1640625" style="134" hidden="1" customWidth="1"/>
    <col min="7" max="7" width="9.5" style="134" hidden="1" customWidth="1"/>
    <col min="8" max="11" width="9.1640625" style="134" customWidth="1"/>
    <col min="12" max="16384" width="9" style="134"/>
  </cols>
  <sheetData>
    <row r="1" spans="1:11"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C1" s="455"/>
      <c r="G1" s="460" t="str">
        <f>IF(COUNTIF(F:F, "Add")&gt;0, "Incomplete", "Complete")</f>
        <v>Incomplete</v>
      </c>
    </row>
    <row r="2" spans="1:11"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C2" s="455"/>
      <c r="F2" s="461"/>
    </row>
    <row r="3" spans="1:11" s="454" customFormat="1" ht="12.5" customHeight="1">
      <c r="A3" s="456"/>
      <c r="B3" s="453"/>
      <c r="C3" s="455"/>
    </row>
    <row r="4" spans="1:11" s="180" customFormat="1" ht="18">
      <c r="A4" s="266" t="str">
        <f>IF(AND(Lotted?="Yes", Doc_Lot="All"), "Lots", "Delete tab before issuing")</f>
        <v>Lots</v>
      </c>
      <c r="B4" s="191"/>
      <c r="C4" s="179"/>
    </row>
    <row r="5" spans="1:11">
      <c r="A5" s="164"/>
      <c r="B5" s="202"/>
      <c r="C5" s="77"/>
      <c r="D5" s="138"/>
      <c r="E5" s="138"/>
      <c r="F5" s="138"/>
      <c r="G5" s="138"/>
      <c r="H5" s="138"/>
      <c r="I5" s="138"/>
      <c r="J5" s="138"/>
      <c r="K5" s="138"/>
    </row>
    <row r="6" spans="1:11" ht="14" customHeight="1">
      <c r="A6" s="545" t="str">
        <f>IF(OR('Project Info'!$B$18="Open Procedure", 'Project Info'!$B$20="SQ"), "Please indicate which lot(s) your organisation would like to apply for:", CONCATENATE("Please indicate which lot(s) your organisation has been invited to tender for and would like to submit a", IF('Project Info'!$B$20="Initial", "n ", " "), IF('Project Info'!$B$20="Tender", "tender for:", CONCATENATE('Project Info'!$B$20, " tender for:"))))</f>
        <v>Please indicate which lot(s) your organisation would like to apply for:</v>
      </c>
      <c r="B6" s="545"/>
      <c r="C6" s="545"/>
      <c r="D6" s="138"/>
      <c r="E6" s="138"/>
      <c r="F6" s="138"/>
      <c r="G6" s="138"/>
      <c r="H6" s="138"/>
      <c r="I6" s="138"/>
      <c r="J6" s="138"/>
      <c r="K6" s="138"/>
    </row>
    <row r="7" spans="1:11">
      <c r="A7" s="164"/>
      <c r="B7" s="202"/>
      <c r="C7" s="77"/>
      <c r="D7" s="138"/>
      <c r="E7" s="138"/>
      <c r="F7" s="138"/>
      <c r="G7" s="138"/>
      <c r="H7" s="138"/>
      <c r="I7" s="138"/>
      <c r="J7" s="138"/>
      <c r="K7" s="138"/>
    </row>
    <row r="8" spans="1:11">
      <c r="A8" s="210" t="s">
        <v>788</v>
      </c>
      <c r="B8" s="210" t="s">
        <v>292</v>
      </c>
      <c r="C8" s="212" t="s">
        <v>787</v>
      </c>
      <c r="D8" s="208" t="s">
        <v>794</v>
      </c>
      <c r="E8" s="208" t="s">
        <v>795</v>
      </c>
      <c r="F8" s="138"/>
      <c r="G8" s="138"/>
      <c r="H8" s="138"/>
      <c r="I8" s="138"/>
      <c r="J8" s="138"/>
      <c r="K8" s="138"/>
    </row>
    <row r="9" spans="1:11" s="3" customFormat="1" ht="28">
      <c r="A9" s="211" t="s">
        <v>789</v>
      </c>
      <c r="B9" s="207" t="str">
        <f t="array" ref="B9">IF(TBL_026_Lots[[#This Row],[Included?]]="Yes", IF(AND(INDEX(TBL_007_LotInfo[Name], MATCH(1, (TBL_026_Lots[[#This Row],[Lot]]=TBL_007_LotInfo[No])*(TBL_026_Lots[[#This Row],[Included?]]=TBL_007_LotInfo[Include?]),0))&lt;&gt;"", INDEX(TBL_007_LotInfo[Description], MATCH(1, (TBL_026_Lots[[#This Row],[Lot]]=TBL_007_LotInfo[No])*(TBL_026_Lots[[#This Row],[Included?]]=TBL_007_LotInfo[Include?]),0))&lt;&gt;""), INDEX(TBL_007_LotInfo[Name], MATCH(1, (TBL_026_Lots[[#This Row],[Lot]]=TBL_007_LotInfo[No])*(TBL_026_Lots[[#This Row],[Included?]]=TBL_007_LotInfo[Include?]),0))&amp;" ("&amp;INDEX(TBL_007_LotInfo[Description], MATCH(1, (TBL_026_Lots[[#This Row],[Lot]]=TBL_007_LotInfo[No])*(TBL_026_Lots[[#This Row],[Included?]]=TBL_007_LotInfo[Include?]),0))&amp;")", "Add details to project info tab"), "[Delete this row]")</f>
        <v>General Builder (multi-trade including carpentry, plastering, decorating, groundworks, brickworks, etc.)</v>
      </c>
      <c r="C9" s="214"/>
      <c r="D9" s="209">
        <v>1</v>
      </c>
      <c r="E9" s="209" t="str">
        <f>IF(No_Lots?&gt;=1, "Yes", "No")</f>
        <v>Yes</v>
      </c>
      <c r="F9" s="142" t="str">
        <f>IF(C9&lt;&gt;"", "Done", "Add")</f>
        <v>Add</v>
      </c>
      <c r="G9" s="18"/>
      <c r="H9" s="142"/>
      <c r="I9" s="142"/>
      <c r="J9" s="142"/>
      <c r="K9" s="142"/>
    </row>
    <row r="10" spans="1:11" s="3" customFormat="1">
      <c r="A10" s="211" t="s">
        <v>790</v>
      </c>
      <c r="B10" s="207" t="str">
        <f t="array" ref="B10">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Plumbing</v>
      </c>
      <c r="C10" s="214"/>
      <c r="D10" s="209">
        <v>2</v>
      </c>
      <c r="E10" s="209" t="str">
        <f>IF(No_Lots?&gt;=2, "Yes", "No")</f>
        <v>Yes</v>
      </c>
      <c r="F10" s="142" t="str">
        <f t="shared" ref="F10:F13" si="0">IF(C10&lt;&gt;"", "Done", "Add")</f>
        <v>Add</v>
      </c>
      <c r="G10" s="18"/>
      <c r="H10" s="142"/>
      <c r="I10" s="142"/>
      <c r="J10" s="142"/>
      <c r="K10" s="142"/>
    </row>
    <row r="11" spans="1:11" s="3" customFormat="1">
      <c r="A11" s="211" t="s">
        <v>791</v>
      </c>
      <c r="B11" s="207" t="str">
        <f t="array" ref="B11">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Electrics</v>
      </c>
      <c r="C11" s="214"/>
      <c r="D11" s="209">
        <v>3</v>
      </c>
      <c r="E11" s="209" t="str">
        <f>IF(No_Lots?&gt;=3, "Yes", "No")</f>
        <v>Yes</v>
      </c>
      <c r="F11" s="142" t="str">
        <f t="shared" si="0"/>
        <v>Add</v>
      </c>
      <c r="G11" s="18"/>
      <c r="H11" s="142"/>
      <c r="I11" s="142"/>
      <c r="J11" s="142"/>
      <c r="K11" s="142"/>
    </row>
    <row r="12" spans="1:11" s="3" customFormat="1">
      <c r="A12" s="211" t="s">
        <v>792</v>
      </c>
      <c r="B12" s="207" t="str">
        <f t="array" ref="B12">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Drainage</v>
      </c>
      <c r="C12" s="214"/>
      <c r="D12" s="209">
        <v>4</v>
      </c>
      <c r="E12" s="209" t="str">
        <f>IF(No_Lots?&gt;=4, "Yes", "No")</f>
        <v>Yes</v>
      </c>
      <c r="F12" s="142" t="str">
        <f t="shared" si="0"/>
        <v>Add</v>
      </c>
      <c r="G12" s="18"/>
      <c r="H12" s="142"/>
      <c r="I12" s="142"/>
      <c r="J12" s="142"/>
      <c r="K12" s="142"/>
    </row>
    <row r="13" spans="1:11" s="3" customFormat="1">
      <c r="A13" s="211" t="s">
        <v>793</v>
      </c>
      <c r="B13" s="207" t="str">
        <f t="array" ref="B13">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Roofing</v>
      </c>
      <c r="C13" s="214"/>
      <c r="D13" s="209">
        <v>5</v>
      </c>
      <c r="E13" s="209" t="str">
        <f>IF(No_Lots?&gt;=5, "Yes", "No")</f>
        <v>Yes</v>
      </c>
      <c r="F13" s="142" t="str">
        <f t="shared" si="0"/>
        <v>Add</v>
      </c>
      <c r="G13" s="18"/>
      <c r="H13" s="142"/>
      <c r="I13" s="142"/>
      <c r="J13" s="142"/>
      <c r="K13" s="142"/>
    </row>
    <row r="14" spans="1:11" s="3" customFormat="1">
      <c r="A14" s="211" t="s">
        <v>1260</v>
      </c>
      <c r="B14" s="207" t="str">
        <f t="array" ref="B14">IF(TBL_026_Lots[[#This Row],[Included?]]="Yes", IF(INDEX(TBL_007_LotInfo[Name], MATCH(1, (TBL_026_Lots[[#This Row],[Lot]]=TBL_007_LotInfo[No])*(TBL_026_Lots[[#This Row],[Included?]]=TBL_007_LotInfo[Include?]),0))&lt;&gt;"", INDEX(TBL_007_LotInfo[Name], MATCH(1, (TBL_026_Lots[[#This Row],[Lot]]=TBL_007_LotInfo[No])*(TBL_026_Lots[[#This Row],[Included?]]=TBL_007_LotInfo[Include?]),0)), "Add details to project info tab"), "[Delete this row]")</f>
        <v>Glazing, ironmongery and locksmith</v>
      </c>
      <c r="C14" s="214"/>
      <c r="D14" s="209">
        <v>6</v>
      </c>
      <c r="E14" s="209" t="str">
        <f>IF(No_Lots?&gt;=5, "Yes", "No")</f>
        <v>Yes</v>
      </c>
      <c r="F14" s="142" t="str">
        <f t="shared" ref="F14" si="1">IF(C14&lt;&gt;"", "Done", "Add")</f>
        <v>Add</v>
      </c>
      <c r="G14" s="146"/>
      <c r="H14" s="146"/>
      <c r="I14" s="146"/>
      <c r="J14" s="146"/>
      <c r="K14" s="146"/>
    </row>
    <row r="15" spans="1:11" s="3" customFormat="1">
      <c r="A15" s="169"/>
      <c r="B15" s="202"/>
      <c r="C15" s="213"/>
      <c r="D15" s="146"/>
      <c r="E15" s="156"/>
      <c r="F15" s="146"/>
      <c r="G15" s="146"/>
      <c r="H15" s="146"/>
      <c r="I15" s="146"/>
      <c r="J15" s="146"/>
      <c r="K15" s="146"/>
    </row>
    <row r="16" spans="1:11" s="3" customFormat="1">
      <c r="A16" s="169"/>
      <c r="B16" s="202"/>
      <c r="C16" s="213"/>
      <c r="D16" s="146"/>
      <c r="E16" s="142"/>
      <c r="F16" s="146"/>
      <c r="G16" s="146"/>
      <c r="H16" s="146"/>
      <c r="I16" s="146"/>
      <c r="J16" s="146"/>
      <c r="K16" s="146"/>
    </row>
    <row r="17" spans="1:11" s="3" customFormat="1">
      <c r="A17" s="169"/>
      <c r="B17" s="202"/>
      <c r="C17" s="213"/>
      <c r="D17" s="146"/>
      <c r="E17" s="156"/>
      <c r="F17" s="146"/>
      <c r="G17" s="146"/>
      <c r="H17" s="146"/>
      <c r="I17" s="146"/>
      <c r="J17" s="146"/>
      <c r="K17" s="146"/>
    </row>
    <row r="18" spans="1:11" s="3" customFormat="1">
      <c r="A18" s="169"/>
      <c r="B18" s="202"/>
      <c r="C18" s="213"/>
      <c r="D18" s="146"/>
      <c r="E18" s="142"/>
      <c r="F18" s="146"/>
      <c r="G18" s="146"/>
      <c r="H18" s="146"/>
      <c r="I18" s="146"/>
      <c r="J18" s="146"/>
      <c r="K18" s="146"/>
    </row>
    <row r="19" spans="1:11" s="3" customFormat="1">
      <c r="A19" s="169"/>
      <c r="B19" s="202"/>
      <c r="C19" s="213"/>
      <c r="D19" s="146"/>
      <c r="E19" s="142"/>
      <c r="F19" s="146"/>
      <c r="G19" s="146"/>
      <c r="H19" s="146"/>
      <c r="I19" s="146"/>
      <c r="J19" s="146"/>
      <c r="K19" s="146"/>
    </row>
    <row r="20" spans="1:11" s="3" customFormat="1">
      <c r="A20" s="169"/>
      <c r="B20" s="202"/>
      <c r="C20" s="213"/>
      <c r="D20" s="146"/>
      <c r="E20" s="142"/>
      <c r="F20" s="146"/>
      <c r="G20" s="146"/>
      <c r="H20" s="146"/>
      <c r="I20" s="146"/>
      <c r="J20" s="146"/>
      <c r="K20" s="146"/>
    </row>
    <row r="21" spans="1:11" s="3" customFormat="1">
      <c r="A21" s="169"/>
      <c r="B21" s="202"/>
      <c r="C21" s="213"/>
      <c r="D21" s="146"/>
      <c r="E21" s="142"/>
      <c r="F21" s="146"/>
      <c r="G21" s="146"/>
      <c r="H21" s="146"/>
      <c r="I21" s="146"/>
      <c r="J21" s="146"/>
      <c r="K21" s="146"/>
    </row>
    <row r="22" spans="1:11" s="3" customFormat="1">
      <c r="A22" s="169"/>
      <c r="B22" s="202"/>
      <c r="C22" s="213"/>
      <c r="D22" s="146"/>
      <c r="E22" s="142"/>
      <c r="F22" s="146"/>
      <c r="G22" s="146"/>
      <c r="H22" s="146"/>
      <c r="I22" s="146"/>
      <c r="J22" s="146"/>
      <c r="K22" s="146"/>
    </row>
    <row r="23" spans="1:11" s="3" customFormat="1">
      <c r="A23" s="169"/>
      <c r="B23" s="202"/>
      <c r="C23" s="213"/>
      <c r="D23" s="146"/>
      <c r="E23" s="142"/>
      <c r="F23" s="146"/>
      <c r="G23" s="146"/>
      <c r="H23" s="146"/>
      <c r="I23" s="146"/>
      <c r="J23" s="146"/>
      <c r="K23" s="146"/>
    </row>
    <row r="24" spans="1:11" s="3" customFormat="1">
      <c r="A24" s="169"/>
      <c r="B24" s="202"/>
      <c r="C24" s="213"/>
      <c r="D24" s="146"/>
      <c r="E24" s="142"/>
      <c r="F24" s="146"/>
      <c r="G24" s="146"/>
      <c r="H24" s="146"/>
      <c r="I24" s="146"/>
      <c r="J24" s="146"/>
      <c r="K24" s="146"/>
    </row>
    <row r="25" spans="1:11" s="3" customFormat="1">
      <c r="A25" s="169"/>
      <c r="B25" s="202"/>
      <c r="C25" s="213"/>
      <c r="D25" s="146"/>
      <c r="E25" s="156"/>
      <c r="F25" s="146"/>
      <c r="G25" s="146"/>
      <c r="H25" s="146"/>
      <c r="I25" s="146"/>
      <c r="J25" s="146"/>
      <c r="K25" s="146"/>
    </row>
    <row r="26" spans="1:11" s="3" customFormat="1">
      <c r="A26" s="169"/>
      <c r="B26" s="202"/>
      <c r="C26" s="213"/>
      <c r="D26" s="146"/>
      <c r="E26" s="142"/>
      <c r="F26" s="146"/>
      <c r="G26" s="146"/>
      <c r="H26" s="146"/>
      <c r="I26" s="146"/>
      <c r="J26" s="146"/>
      <c r="K26" s="146"/>
    </row>
    <row r="27" spans="1:11" s="3" customFormat="1">
      <c r="A27" s="169"/>
      <c r="B27" s="202"/>
      <c r="C27" s="213"/>
      <c r="D27" s="146"/>
      <c r="E27" s="142"/>
      <c r="F27" s="146"/>
      <c r="G27" s="146"/>
      <c r="H27" s="146"/>
      <c r="I27" s="146"/>
      <c r="J27" s="146"/>
      <c r="K27" s="146"/>
    </row>
    <row r="28" spans="1:11" s="3" customFormat="1">
      <c r="A28" s="169"/>
      <c r="B28" s="202"/>
      <c r="C28" s="213"/>
      <c r="D28" s="146"/>
      <c r="E28" s="142"/>
      <c r="F28" s="146"/>
      <c r="G28" s="146"/>
      <c r="H28" s="146"/>
      <c r="I28" s="146"/>
      <c r="J28" s="146"/>
      <c r="K28" s="146"/>
    </row>
    <row r="29" spans="1:11" s="3" customFormat="1">
      <c r="A29" s="169"/>
      <c r="B29" s="202"/>
      <c r="C29" s="213"/>
      <c r="D29" s="146"/>
      <c r="E29" s="142"/>
      <c r="F29" s="146"/>
      <c r="G29" s="146"/>
      <c r="H29" s="146"/>
      <c r="I29" s="146"/>
      <c r="J29" s="146"/>
      <c r="K29" s="146"/>
    </row>
    <row r="30" spans="1:11" s="3" customFormat="1">
      <c r="A30" s="169"/>
      <c r="B30" s="202"/>
      <c r="C30" s="213"/>
      <c r="D30" s="146"/>
      <c r="E30" s="142"/>
      <c r="F30" s="146"/>
      <c r="G30" s="146"/>
      <c r="H30" s="146"/>
      <c r="I30" s="146"/>
      <c r="J30" s="146"/>
      <c r="K30" s="146"/>
    </row>
    <row r="31" spans="1:11" s="3" customFormat="1">
      <c r="A31" s="110"/>
      <c r="B31" s="202"/>
      <c r="C31" s="213"/>
      <c r="D31" s="146"/>
      <c r="E31" s="142"/>
      <c r="F31" s="146"/>
      <c r="G31" s="146"/>
      <c r="H31" s="146"/>
      <c r="I31" s="146"/>
      <c r="J31" s="146"/>
      <c r="K31" s="146"/>
    </row>
    <row r="32" spans="1:11">
      <c r="A32" s="111"/>
      <c r="B32" s="202"/>
      <c r="C32" s="75"/>
      <c r="D32" s="202"/>
      <c r="E32" s="202"/>
      <c r="F32" s="138"/>
      <c r="G32" s="146"/>
      <c r="H32" s="138"/>
      <c r="I32" s="138"/>
      <c r="J32" s="138"/>
      <c r="K32" s="138"/>
    </row>
    <row r="33" spans="1:11">
      <c r="A33" s="111"/>
      <c r="B33" s="202"/>
      <c r="C33" s="77"/>
      <c r="D33" s="138"/>
      <c r="E33" s="138"/>
      <c r="F33" s="138"/>
      <c r="G33" s="138"/>
      <c r="H33" s="138"/>
      <c r="I33" s="138"/>
      <c r="J33" s="138"/>
      <c r="K33" s="138"/>
    </row>
    <row r="34" spans="1:11">
      <c r="A34" s="111"/>
      <c r="B34" s="202"/>
      <c r="C34" s="77"/>
      <c r="D34" s="138"/>
      <c r="E34" s="138"/>
      <c r="F34" s="138"/>
      <c r="G34" s="138"/>
      <c r="H34" s="138"/>
      <c r="I34" s="138"/>
      <c r="J34" s="138"/>
      <c r="K34" s="138"/>
    </row>
  </sheetData>
  <sheetProtection algorithmName="SHA-512" hashValue="nZjn5juoUmx6QIsZs903JQNWHavH3+uFm53MclYk0AKsNBR09BOd6vmqiGWLDiEBlOv1UNCx/7ez8H93w8slxA==" saltValue="KKmxV42+egmHSM2XWDKyWg==" spinCount="100000" sheet="1" formatRows="0"/>
  <protectedRanges>
    <protectedRange sqref="C9:C14" name="Responses"/>
  </protectedRanges>
  <dataConsolidate link="1"/>
  <mergeCells count="1">
    <mergeCell ref="A6:C6"/>
  </mergeCells>
  <phoneticPr fontId="107" type="noConversion"/>
  <conditionalFormatting sqref="C9:C14">
    <cfRule type="expression" dxfId="269" priority="1">
      <formula>INDIRECT("F"&amp;ROW())="Shade"</formula>
    </cfRule>
    <cfRule type="expression" dxfId="268" priority="2">
      <formula>INDIRECT("F"&amp;ROW())="Done"</formula>
    </cfRule>
    <cfRule type="expression" dxfId="267" priority="3">
      <formula>INDIRECT("F"&amp;ROW())="Add"</formula>
    </cfRule>
  </conditionalFormatting>
  <dataValidations count="1">
    <dataValidation type="list" allowBlank="1" showInputMessage="1" showErrorMessage="1" sqref="C9:C14" xr:uid="{BDA4CE1E-7482-4193-825A-1C93FC27473A}">
      <formula1>"Yes, No"</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L78"/>
  <sheetViews>
    <sheetView showGridLines="0" zoomScaleNormal="100" workbookViewId="0"/>
  </sheetViews>
  <sheetFormatPr baseColWidth="10" defaultColWidth="9" defaultRowHeight="14"/>
  <cols>
    <col min="1" max="1" width="9.5" style="170" customWidth="1"/>
    <col min="2" max="2" width="37.83203125" style="133" customWidth="1"/>
    <col min="3" max="3" width="32.6640625" style="134" customWidth="1"/>
    <col min="4" max="4" width="9.5" style="134" customWidth="1"/>
    <col min="5" max="5" width="9.5" style="134" hidden="1" customWidth="1"/>
    <col min="6" max="6" width="9.1640625" style="134" hidden="1" customWidth="1"/>
    <col min="7" max="7" width="10.1640625" style="134" hidden="1" customWidth="1"/>
    <col min="8" max="8" width="38.1640625" style="134" hidden="1" customWidth="1"/>
    <col min="9" max="12" width="9.1640625" style="134" customWidth="1"/>
    <col min="13" max="16384" width="9" style="134"/>
  </cols>
  <sheetData>
    <row r="1" spans="1:12"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G1" s="460" t="str">
        <f>IF(COUNTIF(G3:G48, "Add")&gt;0, "Incomplete", "Complete")</f>
        <v>Incomplete</v>
      </c>
    </row>
    <row r="2" spans="1:12"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60"/>
    </row>
    <row r="3" spans="1:12" s="454" customFormat="1" ht="12.5" customHeight="1">
      <c r="A3" s="456"/>
      <c r="B3" s="453"/>
    </row>
    <row r="4" spans="1:12" s="180" customFormat="1" ht="18">
      <c r="A4" s="266" t="s">
        <v>206</v>
      </c>
      <c r="B4" s="266" t="s">
        <v>363</v>
      </c>
      <c r="C4" s="181"/>
    </row>
    <row r="5" spans="1:12">
      <c r="A5" s="164"/>
      <c r="B5" s="139"/>
      <c r="C5" s="138"/>
      <c r="D5" s="138"/>
      <c r="E5" s="138"/>
      <c r="F5" s="138"/>
      <c r="G5" s="138"/>
      <c r="H5" s="138"/>
      <c r="I5" s="138"/>
      <c r="J5" s="138"/>
      <c r="K5" s="138"/>
      <c r="L5" s="138"/>
    </row>
    <row r="6" spans="1:12" ht="28.5" customHeight="1">
      <c r="A6" s="546" t="s">
        <v>260</v>
      </c>
      <c r="B6" s="546"/>
      <c r="C6" s="546"/>
      <c r="D6" s="138"/>
      <c r="E6" s="138"/>
      <c r="F6" s="138"/>
      <c r="G6" s="138"/>
      <c r="H6" s="138"/>
      <c r="I6" s="138"/>
      <c r="J6" s="138"/>
      <c r="K6" s="138"/>
      <c r="L6" s="138"/>
    </row>
    <row r="7" spans="1:12">
      <c r="A7" s="164"/>
      <c r="B7" s="139"/>
      <c r="C7" s="138"/>
      <c r="D7" s="138"/>
      <c r="E7" s="138"/>
      <c r="F7" s="138"/>
      <c r="G7" s="138"/>
      <c r="H7" s="138"/>
      <c r="I7" s="138"/>
      <c r="J7" s="138"/>
      <c r="K7" s="138"/>
      <c r="L7" s="138"/>
    </row>
    <row r="8" spans="1:12">
      <c r="A8" s="184" t="s">
        <v>925</v>
      </c>
      <c r="B8" s="184" t="s">
        <v>209</v>
      </c>
      <c r="C8" s="184" t="s">
        <v>19</v>
      </c>
      <c r="D8" s="138"/>
      <c r="E8" s="138"/>
      <c r="F8" s="138"/>
      <c r="G8" s="138"/>
      <c r="H8" s="138"/>
      <c r="I8" s="138"/>
      <c r="J8" s="138"/>
      <c r="K8" s="138"/>
      <c r="L8" s="138"/>
    </row>
    <row r="9" spans="1:12" s="3" customFormat="1" ht="28">
      <c r="A9" s="166" t="s">
        <v>217</v>
      </c>
      <c r="B9" s="125" t="s">
        <v>218</v>
      </c>
      <c r="C9" s="140"/>
      <c r="D9" s="141"/>
      <c r="E9" s="141"/>
      <c r="F9" s="142"/>
      <c r="G9" s="142" t="str">
        <f>IF(C9&lt;&gt;"", "Done", "Add")</f>
        <v>Add</v>
      </c>
      <c r="H9" s="18" t="s">
        <v>210</v>
      </c>
      <c r="I9" s="142"/>
      <c r="J9" s="142"/>
      <c r="K9" s="142"/>
      <c r="L9" s="142"/>
    </row>
    <row r="10" spans="1:12" s="3" customFormat="1">
      <c r="A10" s="166" t="s">
        <v>219</v>
      </c>
      <c r="B10" s="125" t="s">
        <v>220</v>
      </c>
      <c r="C10" s="140"/>
      <c r="D10" s="141"/>
      <c r="E10" s="141"/>
      <c r="F10" s="142"/>
      <c r="G10" s="142" t="str">
        <f t="shared" ref="G10:G44" si="0">IF(C10&lt;&gt;"", "Done", "Add")</f>
        <v>Add</v>
      </c>
      <c r="H10" s="18" t="s">
        <v>211</v>
      </c>
      <c r="I10" s="142"/>
      <c r="J10" s="142"/>
      <c r="K10" s="142"/>
      <c r="L10" s="142"/>
    </row>
    <row r="11" spans="1:12" s="3" customFormat="1">
      <c r="A11" s="166" t="s">
        <v>221</v>
      </c>
      <c r="B11" s="125" t="s">
        <v>222</v>
      </c>
      <c r="C11" s="140"/>
      <c r="D11" s="141"/>
      <c r="E11" s="143"/>
      <c r="F11" s="142"/>
      <c r="G11" s="142" t="str">
        <f t="shared" si="0"/>
        <v>Add</v>
      </c>
      <c r="H11" s="18" t="s">
        <v>212</v>
      </c>
      <c r="I11" s="142"/>
      <c r="J11" s="142"/>
      <c r="K11" s="142"/>
      <c r="L11" s="142"/>
    </row>
    <row r="12" spans="1:12" s="3" customFormat="1">
      <c r="A12" s="185" t="s">
        <v>223</v>
      </c>
      <c r="B12" s="144" t="s">
        <v>224</v>
      </c>
      <c r="C12" s="140"/>
      <c r="D12" s="141"/>
      <c r="E12" s="141"/>
      <c r="F12" s="142"/>
      <c r="G12" s="142" t="str">
        <f t="shared" si="0"/>
        <v>Add</v>
      </c>
      <c r="H12" s="18" t="s">
        <v>213</v>
      </c>
      <c r="I12" s="142"/>
      <c r="J12" s="142"/>
      <c r="K12" s="142"/>
      <c r="L12" s="142"/>
    </row>
    <row r="13" spans="1:12" s="3" customFormat="1">
      <c r="A13" s="186"/>
      <c r="B13" s="150"/>
      <c r="C13" s="171"/>
      <c r="D13" s="141"/>
      <c r="E13" s="141"/>
      <c r="F13" s="142"/>
      <c r="G13" s="142" t="str">
        <f>IF(C12&lt;&gt;"", IF(C12=$H$15, IF(C13&lt;&gt;"", "Done", "Add"), "Shade"), "Shade")</f>
        <v>Shade</v>
      </c>
      <c r="H13" s="18" t="s">
        <v>214</v>
      </c>
      <c r="I13" s="142"/>
      <c r="J13" s="142"/>
      <c r="K13" s="142"/>
      <c r="L13" s="142"/>
    </row>
    <row r="14" spans="1:12" s="3" customFormat="1">
      <c r="A14" s="166" t="s">
        <v>225</v>
      </c>
      <c r="B14" s="125" t="s">
        <v>226</v>
      </c>
      <c r="C14" s="151"/>
      <c r="D14" s="141"/>
      <c r="E14" s="141"/>
      <c r="F14" s="142"/>
      <c r="G14" s="142" t="str">
        <f t="shared" si="0"/>
        <v>Add</v>
      </c>
      <c r="H14" s="18" t="s">
        <v>215</v>
      </c>
      <c r="I14" s="142"/>
      <c r="J14" s="142"/>
      <c r="K14" s="142"/>
      <c r="L14" s="142"/>
    </row>
    <row r="15" spans="1:12" s="3" customFormat="1">
      <c r="A15" s="166" t="s">
        <v>227</v>
      </c>
      <c r="B15" s="125" t="s">
        <v>228</v>
      </c>
      <c r="C15" s="145"/>
      <c r="D15" s="141"/>
      <c r="E15" s="141"/>
      <c r="F15" s="142"/>
      <c r="G15" s="142" t="str">
        <f t="shared" si="0"/>
        <v>Add</v>
      </c>
      <c r="H15" s="18" t="s">
        <v>216</v>
      </c>
      <c r="I15" s="142"/>
      <c r="J15" s="142"/>
      <c r="K15" s="142"/>
      <c r="L15" s="142"/>
    </row>
    <row r="16" spans="1:12" s="3" customFormat="1">
      <c r="A16" s="166" t="s">
        <v>229</v>
      </c>
      <c r="B16" s="125" t="s">
        <v>230</v>
      </c>
      <c r="C16" s="145"/>
      <c r="D16" s="141"/>
      <c r="E16" s="141"/>
      <c r="F16" s="142"/>
      <c r="G16" s="142" t="str">
        <f t="shared" si="0"/>
        <v>Add</v>
      </c>
      <c r="H16" s="142"/>
      <c r="I16" s="142"/>
      <c r="J16" s="142"/>
      <c r="K16" s="142"/>
      <c r="L16" s="142"/>
    </row>
    <row r="17" spans="1:12" s="3" customFormat="1">
      <c r="A17" s="166" t="s">
        <v>231</v>
      </c>
      <c r="B17" s="125" t="s">
        <v>232</v>
      </c>
      <c r="C17" s="145"/>
      <c r="D17" s="146"/>
      <c r="E17" s="146"/>
      <c r="F17" s="142"/>
      <c r="G17" s="142" t="str">
        <f t="shared" si="0"/>
        <v>Add</v>
      </c>
      <c r="H17" s="146"/>
      <c r="I17" s="142"/>
      <c r="J17" s="142"/>
      <c r="K17" s="142"/>
      <c r="L17" s="142"/>
    </row>
    <row r="18" spans="1:12" s="3" customFormat="1">
      <c r="A18" s="166" t="s">
        <v>233</v>
      </c>
      <c r="B18" s="125" t="s">
        <v>130</v>
      </c>
      <c r="C18" s="145"/>
      <c r="D18" s="146"/>
      <c r="E18" s="146"/>
      <c r="F18" s="142"/>
      <c r="G18" s="142" t="str">
        <f t="shared" si="0"/>
        <v>Add</v>
      </c>
      <c r="H18" s="146"/>
      <c r="I18" s="142"/>
      <c r="J18" s="142"/>
      <c r="K18" s="142"/>
      <c r="L18" s="142"/>
    </row>
    <row r="19" spans="1:12" s="3" customFormat="1" ht="56">
      <c r="A19" s="166" t="s">
        <v>234</v>
      </c>
      <c r="B19" s="125" t="s">
        <v>235</v>
      </c>
      <c r="C19" s="140"/>
      <c r="D19" s="146"/>
      <c r="E19" s="146"/>
      <c r="F19" s="142"/>
      <c r="G19" s="142" t="str">
        <f t="shared" si="0"/>
        <v>Add</v>
      </c>
      <c r="H19" s="146"/>
      <c r="I19" s="142"/>
      <c r="J19" s="142"/>
      <c r="K19" s="142"/>
      <c r="L19" s="142"/>
    </row>
    <row r="20" spans="1:12" s="3" customFormat="1" ht="42">
      <c r="A20" s="166" t="s">
        <v>236</v>
      </c>
      <c r="B20" s="125" t="s">
        <v>237</v>
      </c>
      <c r="C20" s="145"/>
      <c r="D20" s="146"/>
      <c r="E20" s="146"/>
      <c r="F20" s="142"/>
      <c r="G20" s="142" t="str">
        <f>IF(C19&lt;&gt;"", IF(C19="Yes", IF(C20&lt;&gt;"", "Done", "Add"), "Shade"), "Shade")</f>
        <v>Shade</v>
      </c>
      <c r="H20" s="146"/>
      <c r="I20" s="142"/>
      <c r="J20" s="142"/>
      <c r="K20" s="142"/>
      <c r="L20" s="142"/>
    </row>
    <row r="21" spans="1:12" s="3" customFormat="1" ht="70">
      <c r="A21" s="166" t="s">
        <v>238</v>
      </c>
      <c r="B21" s="125" t="s">
        <v>239</v>
      </c>
      <c r="C21" s="140"/>
      <c r="D21" s="146"/>
      <c r="E21" s="146"/>
      <c r="F21" s="142"/>
      <c r="G21" s="142" t="str">
        <f t="shared" si="0"/>
        <v>Add</v>
      </c>
      <c r="H21" s="146"/>
      <c r="I21" s="142"/>
      <c r="J21" s="142"/>
      <c r="K21" s="142"/>
      <c r="L21" s="142"/>
    </row>
    <row r="22" spans="1:12" s="3" customFormat="1" ht="56">
      <c r="A22" s="166" t="s">
        <v>240</v>
      </c>
      <c r="B22" s="125" t="s">
        <v>241</v>
      </c>
      <c r="C22" s="140"/>
      <c r="D22" s="146"/>
      <c r="E22" s="146"/>
      <c r="F22" s="142"/>
      <c r="G22" s="142" t="str">
        <f>IF(C21&lt;&gt;"", IF(C21="Yes", IF(C22&lt;&gt;"", "Done", "Add"), "Shade"), "Shade")</f>
        <v>Shade</v>
      </c>
      <c r="H22" s="146"/>
      <c r="I22" s="142"/>
      <c r="J22" s="142"/>
      <c r="K22" s="142"/>
      <c r="L22" s="142"/>
    </row>
    <row r="23" spans="1:12" s="3" customFormat="1" ht="28">
      <c r="A23" s="166" t="s">
        <v>242</v>
      </c>
      <c r="B23" s="125" t="s">
        <v>243</v>
      </c>
      <c r="C23" s="140"/>
      <c r="D23" s="146"/>
      <c r="E23" s="146"/>
      <c r="F23" s="142"/>
      <c r="G23" s="142" t="str">
        <f t="shared" si="0"/>
        <v>Add</v>
      </c>
      <c r="H23" s="146"/>
      <c r="I23" s="142"/>
      <c r="J23" s="142"/>
      <c r="K23" s="142"/>
      <c r="L23" s="142"/>
    </row>
    <row r="24" spans="1:12" s="3" customFormat="1">
      <c r="A24" s="166" t="s">
        <v>244</v>
      </c>
      <c r="B24" s="549" t="s">
        <v>245</v>
      </c>
      <c r="C24" s="550"/>
      <c r="D24" s="172"/>
      <c r="E24" s="172"/>
      <c r="F24" s="156"/>
      <c r="G24" s="142"/>
      <c r="H24" s="146"/>
      <c r="I24" s="142"/>
      <c r="J24" s="142"/>
      <c r="K24" s="142"/>
      <c r="L24" s="142"/>
    </row>
    <row r="25" spans="1:12" s="3" customFormat="1" ht="28">
      <c r="A25" s="166" t="s">
        <v>246</v>
      </c>
      <c r="B25" s="125" t="s">
        <v>255</v>
      </c>
      <c r="C25" s="140"/>
      <c r="D25" s="142"/>
      <c r="E25" s="142"/>
      <c r="F25" s="142"/>
      <c r="G25" s="142" t="str">
        <f t="shared" si="0"/>
        <v>Add</v>
      </c>
      <c r="H25" s="142"/>
      <c r="I25" s="142"/>
      <c r="J25" s="142"/>
      <c r="K25" s="142"/>
      <c r="L25" s="142"/>
    </row>
    <row r="26" spans="1:12" s="3" customFormat="1">
      <c r="A26" s="166" t="s">
        <v>247</v>
      </c>
      <c r="B26" s="125" t="s">
        <v>256</v>
      </c>
      <c r="C26" s="140"/>
      <c r="D26" s="142"/>
      <c r="E26" s="142"/>
      <c r="F26" s="142"/>
      <c r="G26" s="142" t="str">
        <f t="shared" si="0"/>
        <v>Add</v>
      </c>
      <c r="H26" s="146"/>
      <c r="I26" s="142"/>
      <c r="J26" s="142"/>
      <c r="K26" s="142"/>
      <c r="L26" s="142"/>
    </row>
    <row r="27" spans="1:12" s="3" customFormat="1">
      <c r="A27" s="166" t="s">
        <v>248</v>
      </c>
      <c r="B27" s="125" t="s">
        <v>249</v>
      </c>
      <c r="C27" s="140"/>
      <c r="D27" s="142"/>
      <c r="E27" s="142"/>
      <c r="F27" s="142"/>
      <c r="G27" s="142" t="str">
        <f t="shared" si="0"/>
        <v>Add</v>
      </c>
      <c r="H27" s="18"/>
      <c r="I27" s="18"/>
      <c r="J27" s="142"/>
      <c r="K27" s="142"/>
      <c r="L27" s="142"/>
    </row>
    <row r="28" spans="1:12" s="3" customFormat="1" ht="28">
      <c r="A28" s="166" t="s">
        <v>250</v>
      </c>
      <c r="B28" s="173" t="s">
        <v>277</v>
      </c>
      <c r="C28" s="140"/>
      <c r="D28" s="146"/>
      <c r="E28" s="146"/>
      <c r="F28" s="142"/>
      <c r="G28" s="142" t="str">
        <f t="shared" si="0"/>
        <v>Add</v>
      </c>
      <c r="H28" s="18"/>
      <c r="I28" s="18"/>
      <c r="J28" s="142"/>
      <c r="K28" s="142"/>
      <c r="L28" s="142"/>
    </row>
    <row r="29" spans="1:12" s="3" customFormat="1" ht="29" customHeight="1">
      <c r="A29" s="185" t="s">
        <v>257</v>
      </c>
      <c r="B29" s="551" t="s">
        <v>278</v>
      </c>
      <c r="C29" s="552"/>
      <c r="D29" s="146"/>
      <c r="E29" s="146"/>
      <c r="F29" s="142"/>
      <c r="G29" s="142"/>
      <c r="H29" s="18"/>
      <c r="I29" s="18"/>
      <c r="J29" s="142"/>
      <c r="K29" s="142"/>
      <c r="L29" s="142"/>
    </row>
    <row r="30" spans="1:12" s="3" customFormat="1">
      <c r="A30" s="187"/>
      <c r="B30" s="125" t="s">
        <v>261</v>
      </c>
      <c r="C30" s="140"/>
      <c r="D30" s="146"/>
      <c r="E30" s="146"/>
      <c r="F30" s="142"/>
      <c r="G30" s="142" t="str">
        <f t="shared" si="0"/>
        <v>Add</v>
      </c>
      <c r="H30" s="18"/>
      <c r="I30" s="18"/>
      <c r="J30" s="142"/>
      <c r="K30" s="142"/>
      <c r="L30" s="142"/>
    </row>
    <row r="31" spans="1:12" s="3" customFormat="1">
      <c r="A31" s="187"/>
      <c r="B31" s="125" t="s">
        <v>262</v>
      </c>
      <c r="C31" s="151"/>
      <c r="D31" s="146"/>
      <c r="E31" s="146"/>
      <c r="F31" s="142"/>
      <c r="G31" s="142" t="str">
        <f t="shared" ref="G31:G36" si="1">IF($C$30&lt;&gt;"", IF($C$30="N/A", "Shade",  IF(C31&lt;&gt;"", "Done", "Add")), IF(C31&lt;&gt;"", "Done", "Add"))</f>
        <v>Add</v>
      </c>
      <c r="H31" s="18"/>
      <c r="I31" s="142"/>
      <c r="J31" s="142"/>
      <c r="K31" s="142"/>
      <c r="L31" s="142"/>
    </row>
    <row r="32" spans="1:12" s="3" customFormat="1">
      <c r="A32" s="187"/>
      <c r="B32" s="125" t="s">
        <v>263</v>
      </c>
      <c r="C32" s="140"/>
      <c r="D32" s="146"/>
      <c r="E32" s="146"/>
      <c r="F32" s="146"/>
      <c r="G32" s="142" t="str">
        <f t="shared" si="1"/>
        <v>Add</v>
      </c>
      <c r="H32" s="146"/>
      <c r="I32" s="146"/>
      <c r="J32" s="146"/>
      <c r="K32" s="146"/>
      <c r="L32" s="146"/>
    </row>
    <row r="33" spans="1:12" s="3" customFormat="1" ht="28">
      <c r="A33" s="187"/>
      <c r="B33" s="125" t="s">
        <v>264</v>
      </c>
      <c r="C33" s="140"/>
      <c r="D33" s="146"/>
      <c r="E33" s="146"/>
      <c r="F33" s="146"/>
      <c r="G33" s="142" t="str">
        <f t="shared" si="1"/>
        <v>Add</v>
      </c>
      <c r="H33" s="41"/>
      <c r="I33" s="146"/>
      <c r="J33" s="146"/>
      <c r="K33" s="146"/>
      <c r="L33" s="146"/>
    </row>
    <row r="34" spans="1:12" s="3" customFormat="1">
      <c r="A34" s="187"/>
      <c r="B34" s="125" t="s">
        <v>265</v>
      </c>
      <c r="C34" s="140"/>
      <c r="D34" s="146"/>
      <c r="E34" s="146"/>
      <c r="F34" s="146"/>
      <c r="G34" s="142" t="str">
        <f t="shared" si="1"/>
        <v>Add</v>
      </c>
      <c r="H34" s="41"/>
      <c r="I34" s="146"/>
      <c r="J34" s="146"/>
      <c r="K34" s="146"/>
      <c r="L34" s="146"/>
    </row>
    <row r="35" spans="1:12" s="3" customFormat="1" ht="42">
      <c r="A35" s="187"/>
      <c r="B35" s="125" t="s">
        <v>266</v>
      </c>
      <c r="C35" s="140"/>
      <c r="D35" s="146"/>
      <c r="E35" s="146"/>
      <c r="F35" s="146"/>
      <c r="G35" s="142" t="str">
        <f t="shared" si="1"/>
        <v>Add</v>
      </c>
      <c r="H35" s="41"/>
      <c r="I35" s="146"/>
      <c r="J35" s="146"/>
      <c r="K35" s="146"/>
      <c r="L35" s="146"/>
    </row>
    <row r="36" spans="1:12" s="3" customFormat="1">
      <c r="A36" s="186"/>
      <c r="B36" s="173" t="s">
        <v>279</v>
      </c>
      <c r="C36" s="140"/>
      <c r="D36" s="146"/>
      <c r="E36" s="146"/>
      <c r="F36" s="142"/>
      <c r="G36" s="142" t="str">
        <f t="shared" si="1"/>
        <v>Add</v>
      </c>
      <c r="H36" s="18" t="s">
        <v>272</v>
      </c>
      <c r="I36" s="146"/>
      <c r="J36" s="146"/>
      <c r="K36" s="146"/>
      <c r="L36" s="146"/>
    </row>
    <row r="37" spans="1:12" s="3" customFormat="1">
      <c r="A37" s="185" t="s">
        <v>251</v>
      </c>
      <c r="B37" s="549" t="s">
        <v>252</v>
      </c>
      <c r="C37" s="550"/>
      <c r="D37" s="146"/>
      <c r="E37" s="146"/>
      <c r="F37" s="142"/>
      <c r="G37" s="142"/>
      <c r="H37" s="18" t="s">
        <v>273</v>
      </c>
      <c r="I37" s="146"/>
      <c r="J37" s="146"/>
      <c r="K37" s="146"/>
      <c r="L37" s="146"/>
    </row>
    <row r="38" spans="1:12" s="3" customFormat="1">
      <c r="A38" s="187"/>
      <c r="B38" s="125" t="s">
        <v>269</v>
      </c>
      <c r="C38" s="140"/>
      <c r="D38" s="146"/>
      <c r="E38" s="146"/>
      <c r="F38" s="142"/>
      <c r="G38" s="142" t="str">
        <f t="shared" si="0"/>
        <v>Add</v>
      </c>
      <c r="H38" s="18" t="s">
        <v>274</v>
      </c>
      <c r="I38" s="146"/>
      <c r="J38" s="146"/>
      <c r="K38" s="146"/>
      <c r="L38" s="146"/>
    </row>
    <row r="39" spans="1:12" s="3" customFormat="1">
      <c r="A39" s="187"/>
      <c r="B39" s="125" t="s">
        <v>220</v>
      </c>
      <c r="C39" s="140"/>
      <c r="D39" s="146"/>
      <c r="E39" s="146"/>
      <c r="F39" s="142"/>
      <c r="G39" s="142" t="str">
        <f>IF($C$38&lt;&gt;"", IF($C$38="N/A", "Shade",  IF(C39&lt;&gt;"", "Done", "Add")),IF(C39&lt;&gt;"", "Done", "Add"))</f>
        <v>Add</v>
      </c>
      <c r="H39" s="146"/>
      <c r="I39" s="146"/>
      <c r="J39" s="146"/>
      <c r="K39" s="146"/>
      <c r="L39" s="146"/>
    </row>
    <row r="40" spans="1:12" s="3" customFormat="1">
      <c r="A40" s="187"/>
      <c r="B40" s="125" t="s">
        <v>267</v>
      </c>
      <c r="C40" s="145"/>
      <c r="D40" s="146"/>
      <c r="E40" s="146"/>
      <c r="F40" s="142"/>
      <c r="G40" s="142" t="str">
        <f>IF($C$38&lt;&gt;"", IF($C$38="N/A", "Shade",  IF(C40&lt;&gt;"", "Done", "Add")),IF(C40&lt;&gt;"", "Done", "Add"))</f>
        <v>Add</v>
      </c>
      <c r="H40" s="146"/>
      <c r="I40" s="146"/>
      <c r="J40" s="146"/>
      <c r="K40" s="146"/>
      <c r="L40" s="146"/>
    </row>
    <row r="41" spans="1:12" s="3" customFormat="1">
      <c r="A41" s="187"/>
      <c r="B41" s="125" t="s">
        <v>232</v>
      </c>
      <c r="C41" s="145"/>
      <c r="D41" s="146"/>
      <c r="E41" s="146"/>
      <c r="F41" s="142"/>
      <c r="G41" s="142" t="str">
        <f>IF($C$38&lt;&gt;"", IF($C$38="N/A", "Shade",  IF(C41&lt;&gt;"", "Done", "Add")),IF(C41&lt;&gt;"", "Done", "Add"))</f>
        <v>Add</v>
      </c>
      <c r="H41" s="146"/>
      <c r="I41" s="146"/>
      <c r="J41" s="146"/>
      <c r="K41" s="146"/>
      <c r="L41" s="146"/>
    </row>
    <row r="42" spans="1:12" s="3" customFormat="1">
      <c r="A42" s="186"/>
      <c r="B42" s="125" t="s">
        <v>268</v>
      </c>
      <c r="C42" s="145"/>
      <c r="D42" s="172"/>
      <c r="E42" s="172"/>
      <c r="F42" s="156"/>
      <c r="G42" s="142" t="str">
        <f>IF($C$38&lt;&gt;"", IF($C$38="N/A", "Shade",  IF(C42&lt;&gt;"", "Done", "Add")),IF(C42&lt;&gt;"", "Done", "Add"))</f>
        <v>Add</v>
      </c>
      <c r="H42" s="146"/>
      <c r="I42" s="146"/>
      <c r="J42" s="146"/>
      <c r="K42" s="146"/>
      <c r="L42" s="146"/>
    </row>
    <row r="43" spans="1:12" s="3" customFormat="1">
      <c r="A43" s="185" t="s">
        <v>253</v>
      </c>
      <c r="B43" s="549" t="s">
        <v>254</v>
      </c>
      <c r="C43" s="550"/>
      <c r="D43" s="172"/>
      <c r="E43" s="172"/>
      <c r="F43" s="156"/>
      <c r="G43" s="142"/>
      <c r="H43" s="18"/>
      <c r="I43" s="146"/>
      <c r="J43" s="146"/>
      <c r="K43" s="146"/>
      <c r="L43" s="146"/>
    </row>
    <row r="44" spans="1:12" s="3" customFormat="1">
      <c r="A44" s="187"/>
      <c r="B44" s="125" t="s">
        <v>270</v>
      </c>
      <c r="C44" s="140"/>
      <c r="D44" s="146"/>
      <c r="E44" s="146"/>
      <c r="F44" s="142"/>
      <c r="G44" s="142" t="str">
        <f t="shared" si="0"/>
        <v>Add</v>
      </c>
      <c r="H44" s="18"/>
      <c r="I44" s="146"/>
      <c r="J44" s="146"/>
      <c r="K44" s="146"/>
      <c r="L44" s="146"/>
    </row>
    <row r="45" spans="1:12" s="3" customFormat="1">
      <c r="A45" s="187"/>
      <c r="B45" s="125" t="s">
        <v>220</v>
      </c>
      <c r="C45" s="140"/>
      <c r="D45" s="146"/>
      <c r="E45" s="146"/>
      <c r="F45" s="142"/>
      <c r="G45" s="142" t="str">
        <f>IF($C$44&lt;&gt;"", IF($C$44="N/A", "Shade",  IF(C45&lt;&gt;"", "Done", "Add")),IF(C45&lt;&gt;"", "Done", "Add"))</f>
        <v>Add</v>
      </c>
      <c r="H45" s="18"/>
      <c r="I45" s="146"/>
      <c r="J45" s="146"/>
      <c r="K45" s="146"/>
      <c r="L45" s="146"/>
    </row>
    <row r="46" spans="1:12" s="3" customFormat="1">
      <c r="A46" s="187"/>
      <c r="B46" s="125" t="s">
        <v>267</v>
      </c>
      <c r="C46" s="145"/>
      <c r="D46" s="146"/>
      <c r="E46" s="146"/>
      <c r="F46" s="142"/>
      <c r="G46" s="142" t="str">
        <f>IF($C$44&lt;&gt;"", IF($C$44="N/A", "Shade",  IF(C46&lt;&gt;"", "Done", "Add")),IF(C46&lt;&gt;"", "Done", "Add"))</f>
        <v>Add</v>
      </c>
      <c r="H46" s="146"/>
      <c r="I46" s="146"/>
      <c r="J46" s="146"/>
      <c r="K46" s="146"/>
      <c r="L46" s="146"/>
    </row>
    <row r="47" spans="1:12" s="3" customFormat="1">
      <c r="A47" s="187"/>
      <c r="B47" s="125" t="s">
        <v>232</v>
      </c>
      <c r="C47" s="145"/>
      <c r="D47" s="146"/>
      <c r="E47" s="146"/>
      <c r="F47" s="142"/>
      <c r="G47" s="142" t="str">
        <f>IF($C$44&lt;&gt;"", IF($C$44="N/A", "Shade",  IF(C47&lt;&gt;"", "Done", "Add")),IF(C47&lt;&gt;"", "Done", "Add"))</f>
        <v>Add</v>
      </c>
      <c r="H47" s="146"/>
      <c r="I47" s="146"/>
      <c r="J47" s="146"/>
      <c r="K47" s="146"/>
      <c r="L47" s="146"/>
    </row>
    <row r="48" spans="1:12" s="3" customFormat="1">
      <c r="A48" s="186"/>
      <c r="B48" s="125" t="s">
        <v>268</v>
      </c>
      <c r="C48" s="145"/>
      <c r="D48" s="146"/>
      <c r="E48" s="146"/>
      <c r="F48" s="142"/>
      <c r="G48" s="142" t="str">
        <f>IF($C$44&lt;&gt;"", IF($C$44="N/A", "Shade",  IF(C48&lt;&gt;"", "Done", "Add")),IF(C48&lt;&gt;"", "Done", "Add"))</f>
        <v>Add</v>
      </c>
      <c r="H48" s="146"/>
      <c r="I48" s="146"/>
      <c r="J48" s="146"/>
      <c r="K48" s="146"/>
      <c r="L48" s="146"/>
    </row>
    <row r="49" spans="1:12" s="3" customFormat="1">
      <c r="A49" s="188"/>
      <c r="B49" s="153"/>
      <c r="C49" s="154"/>
      <c r="D49" s="146"/>
      <c r="E49" s="146"/>
      <c r="F49" s="142"/>
      <c r="G49" s="142"/>
      <c r="H49" s="146"/>
      <c r="I49" s="146"/>
      <c r="J49" s="146"/>
      <c r="K49" s="146"/>
      <c r="L49" s="146"/>
    </row>
    <row r="50" spans="1:12" s="3" customFormat="1" ht="28.5" customHeight="1">
      <c r="A50" s="189" t="s">
        <v>923</v>
      </c>
      <c r="B50" s="553" t="s">
        <v>271</v>
      </c>
      <c r="C50" s="553"/>
      <c r="D50" s="146"/>
      <c r="E50" s="146"/>
      <c r="F50" s="142"/>
      <c r="G50" s="142"/>
      <c r="H50" s="146"/>
      <c r="I50" s="146"/>
      <c r="J50" s="146"/>
      <c r="K50" s="146"/>
      <c r="L50" s="146"/>
    </row>
    <row r="51" spans="1:12" s="3" customFormat="1">
      <c r="A51" s="190"/>
      <c r="B51" s="139"/>
      <c r="C51" s="139"/>
      <c r="D51" s="146"/>
      <c r="E51" s="146"/>
      <c r="F51" s="142"/>
      <c r="G51" s="146"/>
      <c r="H51" s="146"/>
      <c r="I51" s="146"/>
      <c r="J51" s="146"/>
      <c r="K51" s="146"/>
      <c r="L51" s="146"/>
    </row>
    <row r="52" spans="1:12" s="3" customFormat="1">
      <c r="A52" s="189">
        <v>2</v>
      </c>
      <c r="B52" s="547" t="s">
        <v>275</v>
      </c>
      <c r="C52" s="547"/>
      <c r="D52" s="146"/>
      <c r="E52" s="146"/>
      <c r="F52" s="142"/>
      <c r="G52" s="146"/>
      <c r="H52" s="146"/>
      <c r="I52" s="146"/>
      <c r="J52" s="146"/>
      <c r="K52" s="146"/>
      <c r="L52" s="146"/>
    </row>
    <row r="53" spans="1:12" s="3" customFormat="1">
      <c r="A53" s="189"/>
      <c r="B53" s="548" t="s">
        <v>276</v>
      </c>
      <c r="C53" s="548"/>
      <c r="D53" s="146"/>
      <c r="E53" s="146"/>
      <c r="F53" s="142"/>
      <c r="G53" s="146"/>
      <c r="H53" s="146"/>
      <c r="I53" s="146"/>
      <c r="J53" s="146"/>
      <c r="K53" s="146"/>
      <c r="L53" s="146"/>
    </row>
    <row r="54" spans="1:12" s="3" customFormat="1">
      <c r="A54" s="189"/>
      <c r="B54" s="112"/>
      <c r="C54" s="112"/>
      <c r="D54" s="146"/>
      <c r="E54" s="146"/>
      <c r="F54" s="142"/>
      <c r="G54" s="146"/>
      <c r="H54" s="146"/>
      <c r="I54" s="146"/>
      <c r="J54" s="146"/>
      <c r="K54" s="146"/>
      <c r="L54" s="146"/>
    </row>
    <row r="55" spans="1:12" s="3" customFormat="1" ht="55" customHeight="1">
      <c r="A55" s="189">
        <v>3</v>
      </c>
      <c r="B55" s="547" t="s">
        <v>258</v>
      </c>
      <c r="C55" s="547"/>
      <c r="D55" s="146"/>
      <c r="E55" s="146"/>
      <c r="F55" s="142"/>
      <c r="G55" s="146"/>
      <c r="H55" s="146"/>
      <c r="I55" s="146"/>
      <c r="J55" s="146"/>
      <c r="K55" s="146"/>
      <c r="L55" s="146"/>
    </row>
    <row r="56" spans="1:12" s="3" customFormat="1">
      <c r="A56" s="189"/>
      <c r="B56" s="112"/>
      <c r="C56" s="112"/>
      <c r="D56" s="146"/>
      <c r="E56" s="146"/>
      <c r="F56" s="142"/>
      <c r="G56" s="146"/>
      <c r="H56" s="146"/>
      <c r="I56" s="146"/>
      <c r="J56" s="146"/>
      <c r="K56" s="146"/>
      <c r="L56" s="146"/>
    </row>
    <row r="57" spans="1:12" s="3" customFormat="1" ht="27.75" customHeight="1">
      <c r="A57" s="189">
        <v>4</v>
      </c>
      <c r="B57" s="547" t="s">
        <v>259</v>
      </c>
      <c r="C57" s="547"/>
      <c r="D57" s="146"/>
      <c r="E57" s="146"/>
      <c r="F57" s="142"/>
      <c r="G57" s="146"/>
      <c r="H57" s="146"/>
      <c r="I57" s="146"/>
      <c r="J57" s="146"/>
      <c r="K57" s="146"/>
      <c r="L57" s="146"/>
    </row>
    <row r="58" spans="1:12" s="3" customFormat="1">
      <c r="A58" s="169"/>
      <c r="B58" s="139"/>
      <c r="C58" s="139"/>
      <c r="D58" s="146"/>
      <c r="E58" s="146"/>
      <c r="F58" s="142"/>
      <c r="G58" s="146"/>
      <c r="H58" s="146"/>
      <c r="I58" s="146"/>
      <c r="J58" s="146"/>
      <c r="K58" s="146"/>
      <c r="L58" s="146"/>
    </row>
    <row r="59" spans="1:12" s="3" customFormat="1">
      <c r="A59" s="169"/>
      <c r="B59" s="139"/>
      <c r="C59" s="139"/>
      <c r="D59" s="146"/>
      <c r="E59" s="146"/>
      <c r="F59" s="156"/>
      <c r="G59" s="146"/>
      <c r="H59" s="146"/>
      <c r="I59" s="146"/>
      <c r="J59" s="146"/>
      <c r="K59" s="146"/>
      <c r="L59" s="146"/>
    </row>
    <row r="60" spans="1:12" s="3" customFormat="1">
      <c r="A60" s="169"/>
      <c r="B60" s="139"/>
      <c r="C60" s="139"/>
      <c r="D60" s="146"/>
      <c r="E60" s="146"/>
      <c r="F60" s="142"/>
      <c r="G60" s="146"/>
      <c r="H60" s="146"/>
      <c r="I60" s="146"/>
      <c r="J60" s="146"/>
      <c r="K60" s="146"/>
      <c r="L60" s="146"/>
    </row>
    <row r="61" spans="1:12" s="3" customFormat="1">
      <c r="A61" s="169"/>
      <c r="B61" s="139"/>
      <c r="C61" s="139"/>
      <c r="D61" s="146"/>
      <c r="E61" s="146"/>
      <c r="F61" s="156"/>
      <c r="G61" s="146"/>
      <c r="H61" s="146"/>
      <c r="I61" s="146"/>
      <c r="J61" s="146"/>
      <c r="K61" s="146"/>
      <c r="L61" s="146"/>
    </row>
    <row r="62" spans="1:12" s="3" customFormat="1">
      <c r="A62" s="169"/>
      <c r="B62" s="139"/>
      <c r="C62" s="139"/>
      <c r="D62" s="146"/>
      <c r="E62" s="146"/>
      <c r="F62" s="142"/>
      <c r="G62" s="146"/>
      <c r="H62" s="146"/>
      <c r="I62" s="146"/>
      <c r="J62" s="146"/>
      <c r="K62" s="146"/>
      <c r="L62" s="146"/>
    </row>
    <row r="63" spans="1:12" s="3" customFormat="1">
      <c r="A63" s="169"/>
      <c r="B63" s="139"/>
      <c r="C63" s="139"/>
      <c r="D63" s="146"/>
      <c r="E63" s="146"/>
      <c r="F63" s="142"/>
      <c r="G63" s="146"/>
      <c r="H63" s="146"/>
      <c r="I63" s="146"/>
      <c r="J63" s="146"/>
      <c r="K63" s="146"/>
      <c r="L63" s="146"/>
    </row>
    <row r="64" spans="1:12" s="3" customFormat="1">
      <c r="A64" s="169"/>
      <c r="B64" s="139"/>
      <c r="C64" s="139"/>
      <c r="D64" s="146"/>
      <c r="E64" s="146"/>
      <c r="F64" s="142"/>
      <c r="G64" s="146"/>
      <c r="H64" s="146"/>
      <c r="I64" s="146"/>
      <c r="J64" s="146"/>
      <c r="K64" s="146"/>
      <c r="L64" s="146"/>
    </row>
    <row r="65" spans="1:12" s="3" customFormat="1">
      <c r="A65" s="169"/>
      <c r="B65" s="139"/>
      <c r="C65" s="139"/>
      <c r="D65" s="146"/>
      <c r="E65" s="146"/>
      <c r="F65" s="142"/>
      <c r="G65" s="146"/>
      <c r="H65" s="146"/>
      <c r="I65" s="146"/>
      <c r="J65" s="146"/>
      <c r="K65" s="146"/>
      <c r="L65" s="146"/>
    </row>
    <row r="66" spans="1:12" s="3" customFormat="1">
      <c r="A66" s="169"/>
      <c r="B66" s="139"/>
      <c r="C66" s="139"/>
      <c r="D66" s="146"/>
      <c r="E66" s="146"/>
      <c r="F66" s="142"/>
      <c r="G66" s="146"/>
      <c r="H66" s="146"/>
      <c r="I66" s="146"/>
      <c r="J66" s="146"/>
      <c r="K66" s="146"/>
      <c r="L66" s="146"/>
    </row>
    <row r="67" spans="1:12" s="3" customFormat="1">
      <c r="A67" s="169"/>
      <c r="B67" s="139"/>
      <c r="C67" s="139"/>
      <c r="D67" s="146"/>
      <c r="E67" s="146"/>
      <c r="F67" s="142"/>
      <c r="G67" s="146"/>
      <c r="H67" s="146"/>
      <c r="I67" s="146"/>
      <c r="J67" s="146"/>
      <c r="K67" s="146"/>
      <c r="L67" s="146"/>
    </row>
    <row r="68" spans="1:12" s="3" customFormat="1">
      <c r="A68" s="169"/>
      <c r="B68" s="139"/>
      <c r="C68" s="139"/>
      <c r="D68" s="146"/>
      <c r="E68" s="146"/>
      <c r="F68" s="142"/>
      <c r="G68" s="146"/>
      <c r="H68" s="146"/>
      <c r="I68" s="146"/>
      <c r="J68" s="146"/>
      <c r="K68" s="146"/>
      <c r="L68" s="146"/>
    </row>
    <row r="69" spans="1:12" s="3" customFormat="1">
      <c r="A69" s="169"/>
      <c r="B69" s="139"/>
      <c r="C69" s="139"/>
      <c r="D69" s="146"/>
      <c r="E69" s="146"/>
      <c r="F69" s="156"/>
      <c r="G69" s="146"/>
      <c r="H69" s="146"/>
      <c r="I69" s="146"/>
      <c r="J69" s="146"/>
      <c r="K69" s="146"/>
      <c r="L69" s="146"/>
    </row>
    <row r="70" spans="1:12" s="3" customFormat="1">
      <c r="A70" s="169"/>
      <c r="B70" s="139"/>
      <c r="C70" s="139"/>
      <c r="D70" s="146"/>
      <c r="E70" s="146"/>
      <c r="F70" s="142"/>
      <c r="G70" s="146"/>
      <c r="H70" s="146"/>
      <c r="I70" s="146"/>
      <c r="J70" s="146"/>
      <c r="K70" s="146"/>
      <c r="L70" s="146"/>
    </row>
    <row r="71" spans="1:12" s="3" customFormat="1">
      <c r="A71" s="169"/>
      <c r="B71" s="139"/>
      <c r="C71" s="139"/>
      <c r="D71" s="146"/>
      <c r="E71" s="146"/>
      <c r="F71" s="142"/>
      <c r="G71" s="146"/>
      <c r="H71" s="146"/>
      <c r="I71" s="146"/>
      <c r="J71" s="146"/>
      <c r="K71" s="146"/>
      <c r="L71" s="146"/>
    </row>
    <row r="72" spans="1:12" s="3" customFormat="1">
      <c r="A72" s="169"/>
      <c r="B72" s="139"/>
      <c r="C72" s="139"/>
      <c r="D72" s="146"/>
      <c r="E72" s="146"/>
      <c r="F72" s="142"/>
      <c r="G72" s="146"/>
      <c r="H72" s="146"/>
      <c r="I72" s="146"/>
      <c r="J72" s="146"/>
      <c r="K72" s="146"/>
      <c r="L72" s="146"/>
    </row>
    <row r="73" spans="1:12" s="3" customFormat="1">
      <c r="A73" s="169"/>
      <c r="B73" s="139"/>
      <c r="C73" s="139"/>
      <c r="D73" s="146"/>
      <c r="E73" s="146"/>
      <c r="F73" s="142"/>
      <c r="G73" s="146"/>
      <c r="H73" s="146"/>
      <c r="I73" s="146"/>
      <c r="J73" s="146"/>
      <c r="K73" s="146"/>
      <c r="L73" s="146"/>
    </row>
    <row r="74" spans="1:12" s="3" customFormat="1">
      <c r="A74" s="169"/>
      <c r="B74" s="139"/>
      <c r="C74" s="139"/>
      <c r="D74" s="146"/>
      <c r="E74" s="146"/>
      <c r="F74" s="142"/>
      <c r="G74" s="146"/>
      <c r="H74" s="146"/>
      <c r="I74" s="146"/>
      <c r="J74" s="146"/>
      <c r="K74" s="146"/>
      <c r="L74" s="146"/>
    </row>
    <row r="75" spans="1:12" s="3" customFormat="1">
      <c r="A75" s="110"/>
      <c r="B75" s="139"/>
      <c r="C75" s="139"/>
      <c r="D75" s="146"/>
      <c r="E75" s="146"/>
      <c r="F75" s="142"/>
      <c r="G75" s="146"/>
      <c r="H75" s="146"/>
      <c r="I75" s="146"/>
      <c r="J75" s="146"/>
      <c r="K75" s="146"/>
      <c r="L75" s="146"/>
    </row>
    <row r="76" spans="1:12">
      <c r="A76" s="111"/>
      <c r="B76" s="139"/>
      <c r="C76" s="139"/>
      <c r="D76" s="139"/>
      <c r="E76" s="139"/>
      <c r="F76" s="139"/>
      <c r="G76" s="138"/>
      <c r="H76" s="146"/>
      <c r="I76" s="138"/>
      <c r="J76" s="138"/>
      <c r="K76" s="138"/>
      <c r="L76" s="138"/>
    </row>
    <row r="77" spans="1:12">
      <c r="A77" s="111"/>
      <c r="B77" s="139"/>
      <c r="C77" s="139"/>
      <c r="D77" s="138"/>
      <c r="E77" s="138"/>
      <c r="F77" s="138"/>
      <c r="G77" s="138"/>
      <c r="H77" s="138"/>
      <c r="I77" s="138"/>
      <c r="J77" s="138"/>
      <c r="K77" s="138"/>
      <c r="L77" s="138"/>
    </row>
    <row r="78" spans="1:12">
      <c r="A78" s="111"/>
      <c r="B78" s="139"/>
      <c r="C78" s="139"/>
      <c r="D78" s="138"/>
      <c r="E78" s="138"/>
      <c r="F78" s="138"/>
      <c r="G78" s="138"/>
      <c r="H78" s="138"/>
      <c r="I78" s="138"/>
      <c r="J78" s="138"/>
      <c r="K78" s="138"/>
      <c r="L78" s="138"/>
    </row>
  </sheetData>
  <sheetProtection algorithmName="SHA-512" hashValue="HV+Cmt3GyhmwijDeTyCFTF2DiYN39EbTJewj+Ctp4PVALtGvCeMc2DJT8Xnx11Wd8xNkvoqA5Ze82zWa3pyG1A==" saltValue="eygnZq84wdvFmBqQXPZsmQ==" spinCount="100000" sheet="1" formatRows="0"/>
  <protectedRanges>
    <protectedRange sqref="C9:C23 C25:C28 C30:C36 C38:C42 C44:C48" name="Responses"/>
  </protectedRanges>
  <dataConsolidate link="1"/>
  <mergeCells count="10">
    <mergeCell ref="A6:C6"/>
    <mergeCell ref="B52:C52"/>
    <mergeCell ref="B55:C55"/>
    <mergeCell ref="B57:C57"/>
    <mergeCell ref="B53:C53"/>
    <mergeCell ref="B24:C24"/>
    <mergeCell ref="B29:C29"/>
    <mergeCell ref="B37:C37"/>
    <mergeCell ref="B50:C50"/>
    <mergeCell ref="B43:C43"/>
  </mergeCells>
  <conditionalFormatting sqref="C9:C23 C25:C28 C30:C36 C38:C42 C44:C48">
    <cfRule type="expression" dxfId="256" priority="1">
      <formula>INDIRECT("G"&amp;ROW())="Shade"</formula>
    </cfRule>
    <cfRule type="expression" dxfId="255" priority="2">
      <formula>INDIRECT("G"&amp;ROW())="Done"</formula>
    </cfRule>
    <cfRule type="expression" dxfId="254" priority="3">
      <formula>INDIRECT("G"&amp;ROW())="Add"</formula>
    </cfRule>
  </conditionalFormatting>
  <dataValidations disablePrompts="1" count="5">
    <dataValidation type="list" allowBlank="1" showInputMessage="1" showErrorMessage="1" sqref="C22 C20" xr:uid="{00000000-0002-0000-0900-000000000000}">
      <formula1>"Enclosed"</formula1>
    </dataValidation>
    <dataValidation type="list" allowBlank="1" showInputMessage="1" showErrorMessage="1" sqref="C12" xr:uid="{00000000-0002-0000-0900-000001000000}">
      <formula1>$H$9:$H$15</formula1>
    </dataValidation>
    <dataValidation type="list" allowBlank="1" showInputMessage="1" showErrorMessage="1" sqref="C19" xr:uid="{00000000-0002-0000-0900-000002000000}">
      <formula1>"Yes, No, N/A"</formula1>
    </dataValidation>
    <dataValidation type="list" allowBlank="1" showInputMessage="1" showErrorMessage="1" sqref="C21 C25:C28" xr:uid="{00000000-0002-0000-0900-000003000000}">
      <formula1>"Yes, No"</formula1>
    </dataValidation>
    <dataValidation type="list" allowBlank="1" showInputMessage="1" showErrorMessage="1" sqref="C36" xr:uid="{00000000-0002-0000-0900-000004000000}">
      <formula1>$H$36:$H$38</formula1>
    </dataValidation>
  </dataValidations>
  <hyperlinks>
    <hyperlink ref="B53" r:id="rId1" xr:uid="{00000000-0004-0000-0900-000000000000}"/>
    <hyperlink ref="B28" location="Footnote_2" display="Are you a Small, Medium or Micro Enterprise (SME)[2]?" xr:uid="{00000000-0004-0000-0900-000001000000}"/>
    <hyperlink ref="B29:C29" location="Footnote_3" display="Details of Persons of Significant Control (PSC), where appropriate (Please enter N/A if not applicable): [3]" xr:uid="{00000000-0004-0000-0900-000002000000}"/>
    <hyperlink ref="B36" location="Footnote_4" display="Which conditions for being a PSC are met[4];" xr:uid="{00000000-0004-0000-0900-000003000000}"/>
  </hyperlinks>
  <pageMargins left="0.78740157480314965" right="0.78740157480314965" top="0.39370078740157483" bottom="0.78740157480314965" header="0" footer="0.39370078740157483"/>
  <pageSetup paperSize="9" orientation="portrait" r:id="rId2"/>
  <headerFooter>
    <oddFooter>&amp;C&amp;"Arial,Regular"&amp;10&amp;K00-049&amp;P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P38"/>
  <sheetViews>
    <sheetView showGridLines="0" zoomScaleNormal="100" workbookViewId="0"/>
  </sheetViews>
  <sheetFormatPr baseColWidth="10" defaultColWidth="9" defaultRowHeight="14"/>
  <cols>
    <col min="1" max="1" width="9.5" style="170" customWidth="1"/>
    <col min="2" max="2" width="37.83203125" style="133" customWidth="1"/>
    <col min="3" max="7" width="14.5" style="134" customWidth="1"/>
    <col min="8" max="9" width="9.5" style="134" customWidth="1"/>
    <col min="10" max="10" width="9.1640625" style="134" customWidth="1"/>
    <col min="11" max="11" width="10.33203125" style="134" hidden="1" customWidth="1"/>
    <col min="12" max="12" width="65.33203125" style="134" hidden="1" customWidth="1"/>
    <col min="13" max="13" width="70.1640625" style="134" hidden="1" customWidth="1"/>
    <col min="14" max="16" width="9.1640625" style="134" customWidth="1"/>
    <col min="17" max="16384" width="9" style="134"/>
  </cols>
  <sheetData>
    <row r="1" spans="1:16"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K1" s="460" t="str">
        <f>IF(COUNTIF(K3:K26, "Add")&gt;0, "Incomplete", "Complete")</f>
        <v>Incomplete</v>
      </c>
    </row>
    <row r="2" spans="1:16"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K2" s="460"/>
    </row>
    <row r="3" spans="1:16" s="454" customFormat="1" ht="12.5" customHeight="1">
      <c r="A3" s="456"/>
      <c r="B3" s="453"/>
    </row>
    <row r="4" spans="1:16" s="268" customFormat="1" ht="18">
      <c r="A4" s="266" t="s">
        <v>206</v>
      </c>
      <c r="B4" s="266" t="s">
        <v>363</v>
      </c>
      <c r="C4" s="267"/>
      <c r="D4" s="267"/>
      <c r="E4" s="267"/>
      <c r="F4" s="267"/>
      <c r="G4" s="267"/>
    </row>
    <row r="5" spans="1:16">
      <c r="A5" s="158"/>
      <c r="B5" s="159"/>
      <c r="C5" s="160"/>
      <c r="D5" s="160"/>
      <c r="E5" s="160"/>
      <c r="F5" s="160"/>
      <c r="G5" s="160"/>
    </row>
    <row r="6" spans="1:16">
      <c r="A6" s="358" t="s">
        <v>365</v>
      </c>
      <c r="B6" s="358" t="s">
        <v>364</v>
      </c>
      <c r="C6" s="161"/>
      <c r="D6" s="161"/>
      <c r="E6" s="161"/>
      <c r="F6" s="161"/>
      <c r="G6" s="161"/>
      <c r="H6" s="138"/>
      <c r="I6" s="138"/>
      <c r="J6" s="138"/>
      <c r="K6" s="138"/>
      <c r="L6" s="138"/>
      <c r="M6" s="138"/>
      <c r="N6" s="138"/>
      <c r="O6" s="138"/>
      <c r="P6" s="138"/>
    </row>
    <row r="7" spans="1:16">
      <c r="A7" s="162"/>
      <c r="B7" s="163"/>
      <c r="C7" s="138"/>
      <c r="D7" s="138"/>
      <c r="E7" s="138"/>
      <c r="F7" s="138"/>
      <c r="G7" s="138"/>
      <c r="H7" s="138"/>
      <c r="I7" s="138"/>
      <c r="J7" s="138"/>
      <c r="K7" s="138"/>
      <c r="L7" s="138"/>
      <c r="M7" s="138"/>
      <c r="N7" s="138"/>
      <c r="O7" s="138"/>
      <c r="P7" s="138"/>
    </row>
    <row r="8" spans="1:16" ht="14" customHeight="1">
      <c r="A8" s="546" t="s">
        <v>280</v>
      </c>
      <c r="B8" s="546"/>
      <c r="C8" s="546"/>
      <c r="D8" s="546"/>
      <c r="E8" s="546"/>
      <c r="F8" s="546"/>
      <c r="G8" s="546"/>
      <c r="H8" s="138"/>
      <c r="I8" s="138"/>
      <c r="J8" s="138"/>
      <c r="K8" s="138"/>
      <c r="L8" s="138"/>
      <c r="M8" s="138"/>
      <c r="N8" s="138"/>
      <c r="O8" s="138"/>
      <c r="P8" s="138"/>
    </row>
    <row r="9" spans="1:16">
      <c r="A9" s="164"/>
      <c r="B9" s="139"/>
      <c r="C9" s="138"/>
      <c r="D9" s="138"/>
      <c r="E9" s="138"/>
      <c r="F9" s="138"/>
      <c r="G9" s="138"/>
      <c r="H9" s="138"/>
      <c r="I9" s="138"/>
      <c r="J9" s="138"/>
      <c r="K9" s="138"/>
      <c r="L9" s="138"/>
      <c r="M9" s="138"/>
      <c r="N9" s="138"/>
      <c r="O9" s="138"/>
      <c r="P9" s="138"/>
    </row>
    <row r="10" spans="1:16">
      <c r="A10" s="184" t="s">
        <v>925</v>
      </c>
      <c r="B10" s="184" t="s">
        <v>209</v>
      </c>
      <c r="C10" s="558" t="s">
        <v>19</v>
      </c>
      <c r="D10" s="558"/>
      <c r="E10" s="558"/>
      <c r="F10" s="558"/>
      <c r="G10" s="558"/>
      <c r="H10" s="138"/>
      <c r="I10" s="138"/>
      <c r="J10" s="138"/>
      <c r="K10" s="138"/>
      <c r="L10" s="138"/>
      <c r="M10" s="138"/>
      <c r="N10" s="138"/>
      <c r="O10" s="138"/>
      <c r="P10" s="138"/>
    </row>
    <row r="11" spans="1:16" s="3" customFormat="1" ht="28">
      <c r="A11" s="185" t="s">
        <v>281</v>
      </c>
      <c r="B11" s="125" t="s">
        <v>282</v>
      </c>
      <c r="C11" s="557"/>
      <c r="D11" s="557"/>
      <c r="E11" s="557"/>
      <c r="F11" s="557"/>
      <c r="G11" s="557"/>
      <c r="H11" s="141"/>
      <c r="I11" s="141"/>
      <c r="J11" s="142"/>
      <c r="K11" s="142" t="str">
        <f>IF(C11&lt;&gt;"", "Done", "Add")</f>
        <v>Add</v>
      </c>
      <c r="L11" s="165" t="s">
        <v>283</v>
      </c>
      <c r="M11" s="165" t="s">
        <v>284</v>
      </c>
      <c r="N11" s="142"/>
      <c r="O11" s="142"/>
      <c r="P11" s="142"/>
    </row>
    <row r="12" spans="1:16" s="3" customFormat="1">
      <c r="A12" s="186"/>
      <c r="B12" s="554" t="str">
        <f>IF(C11="Yes", L11, IF(C11="No", M11, ""))</f>
        <v/>
      </c>
      <c r="C12" s="555"/>
      <c r="D12" s="555"/>
      <c r="E12" s="555"/>
      <c r="F12" s="555"/>
      <c r="G12" s="556"/>
      <c r="H12" s="141"/>
      <c r="I12" s="141"/>
      <c r="J12" s="142"/>
      <c r="K12" s="142"/>
      <c r="L12" s="146"/>
      <c r="M12" s="142"/>
      <c r="N12" s="142"/>
      <c r="O12" s="142"/>
      <c r="P12" s="142"/>
    </row>
    <row r="13" spans="1:16" s="3" customFormat="1" ht="28">
      <c r="A13" s="166" t="s">
        <v>285</v>
      </c>
      <c r="B13" s="166" t="s">
        <v>677</v>
      </c>
      <c r="C13" s="554"/>
      <c r="D13" s="555"/>
      <c r="E13" s="555"/>
      <c r="F13" s="555"/>
      <c r="G13" s="556"/>
      <c r="H13" s="146"/>
      <c r="I13" s="146"/>
      <c r="J13" s="142"/>
      <c r="K13" s="146" t="str">
        <f>IF($C$11="No", "Shade", IF(C13&lt;&gt;"", "Done", "Add"))</f>
        <v>Add</v>
      </c>
      <c r="L13" s="146"/>
      <c r="M13" s="146"/>
      <c r="N13" s="146"/>
      <c r="O13" s="146"/>
      <c r="P13" s="146"/>
    </row>
    <row r="14" spans="1:16" s="3" customFormat="1" ht="84">
      <c r="A14" s="166" t="s">
        <v>286</v>
      </c>
      <c r="B14" s="166" t="s">
        <v>287</v>
      </c>
      <c r="C14" s="554"/>
      <c r="D14" s="555"/>
      <c r="E14" s="555"/>
      <c r="F14" s="555"/>
      <c r="G14" s="556"/>
      <c r="H14" s="146"/>
      <c r="I14" s="146"/>
      <c r="J14" s="156"/>
      <c r="K14" s="146" t="str">
        <f>IF($C$11="No", "Shade", IF(C14&lt;&gt;"", "Done", "Add"))</f>
        <v>Add</v>
      </c>
      <c r="L14" s="146"/>
      <c r="M14" s="146"/>
      <c r="N14" s="146"/>
      <c r="O14" s="146"/>
      <c r="P14" s="146"/>
    </row>
    <row r="15" spans="1:16" s="3" customFormat="1" ht="42">
      <c r="A15" s="166" t="s">
        <v>288</v>
      </c>
      <c r="B15" s="166" t="s">
        <v>289</v>
      </c>
      <c r="C15" s="554"/>
      <c r="D15" s="555"/>
      <c r="E15" s="555"/>
      <c r="F15" s="555"/>
      <c r="G15" s="556"/>
      <c r="H15" s="146"/>
      <c r="I15" s="146"/>
      <c r="J15" s="142"/>
      <c r="K15" s="142" t="str">
        <f>IF(C15&lt;&gt;"", "Done", "Add")</f>
        <v>Add</v>
      </c>
      <c r="L15" s="146"/>
      <c r="M15" s="146"/>
      <c r="N15" s="146"/>
      <c r="O15" s="146"/>
      <c r="P15" s="146"/>
    </row>
    <row r="16" spans="1:16" s="3" customFormat="1" ht="28.5" customHeight="1">
      <c r="A16" s="185" t="s">
        <v>290</v>
      </c>
      <c r="B16" s="554" t="s">
        <v>291</v>
      </c>
      <c r="C16" s="555"/>
      <c r="D16" s="555"/>
      <c r="E16" s="555"/>
      <c r="F16" s="555"/>
      <c r="G16" s="556"/>
      <c r="H16" s="146"/>
      <c r="I16" s="146"/>
      <c r="J16" s="156"/>
      <c r="K16" s="146"/>
      <c r="L16" s="146"/>
      <c r="M16" s="146"/>
      <c r="N16" s="146"/>
      <c r="O16" s="146"/>
      <c r="P16" s="146"/>
    </row>
    <row r="17" spans="1:16" s="3" customFormat="1">
      <c r="A17" s="187"/>
      <c r="B17" s="166" t="s">
        <v>292</v>
      </c>
      <c r="C17" s="166"/>
      <c r="D17" s="166"/>
      <c r="E17" s="166"/>
      <c r="F17" s="166"/>
      <c r="G17" s="166"/>
      <c r="H17" s="146"/>
      <c r="I17" s="146"/>
      <c r="J17" s="142"/>
      <c r="K17" s="146" t="str">
        <f>IF($C$15&lt;&gt;"", IF($C$15="No", "Shade", IF(COUNTA(C17:G17)&gt;0, "Done", "Add")), IF(COUNTA(C17:G17)&gt;0, "Done", "Add"))</f>
        <v>Add</v>
      </c>
      <c r="L17" s="146"/>
      <c r="M17" s="146"/>
      <c r="N17" s="146"/>
      <c r="O17" s="146"/>
      <c r="P17" s="146"/>
    </row>
    <row r="18" spans="1:16" s="3" customFormat="1">
      <c r="A18" s="187"/>
      <c r="B18" s="166" t="s">
        <v>8</v>
      </c>
      <c r="C18" s="166"/>
      <c r="D18" s="166"/>
      <c r="E18" s="166"/>
      <c r="F18" s="166"/>
      <c r="G18" s="166"/>
      <c r="H18" s="146"/>
      <c r="I18" s="146"/>
      <c r="J18" s="142"/>
      <c r="K18" s="146" t="str">
        <f t="shared" ref="K18:K26" si="0">IF($C$15&lt;&gt;"", IF($C$15="No", "Shade", IF(COUNTA(C18:G18)&gt;0, "Done", "Add")), IF(COUNTA(C18:G18)&gt;0, "Done", "Add"))</f>
        <v>Add</v>
      </c>
      <c r="L18" s="146"/>
      <c r="M18" s="146"/>
      <c r="N18" s="146"/>
      <c r="O18" s="146"/>
      <c r="P18" s="146"/>
    </row>
    <row r="19" spans="1:16" s="3" customFormat="1">
      <c r="A19" s="187"/>
      <c r="B19" s="166" t="s">
        <v>224</v>
      </c>
      <c r="C19" s="166"/>
      <c r="D19" s="166"/>
      <c r="E19" s="166"/>
      <c r="F19" s="166"/>
      <c r="G19" s="166"/>
      <c r="H19" s="146"/>
      <c r="I19" s="146"/>
      <c r="J19" s="142"/>
      <c r="K19" s="146" t="str">
        <f t="shared" si="0"/>
        <v>Add</v>
      </c>
      <c r="L19" s="146"/>
      <c r="M19" s="146"/>
      <c r="N19" s="146"/>
      <c r="O19" s="146"/>
      <c r="P19" s="146"/>
    </row>
    <row r="20" spans="1:16" s="3" customFormat="1">
      <c r="A20" s="187"/>
      <c r="B20" s="166" t="s">
        <v>293</v>
      </c>
      <c r="C20" s="167"/>
      <c r="D20" s="167"/>
      <c r="E20" s="167"/>
      <c r="F20" s="167"/>
      <c r="G20" s="167"/>
      <c r="H20" s="146"/>
      <c r="I20" s="146"/>
      <c r="J20" s="142"/>
      <c r="K20" s="146" t="str">
        <f t="shared" si="0"/>
        <v>Add</v>
      </c>
      <c r="L20" s="146"/>
      <c r="M20" s="146"/>
      <c r="N20" s="146"/>
      <c r="O20" s="146"/>
      <c r="P20" s="146"/>
    </row>
    <row r="21" spans="1:16" s="3" customFormat="1">
      <c r="A21" s="147"/>
      <c r="B21" s="166" t="s">
        <v>294</v>
      </c>
      <c r="C21" s="167"/>
      <c r="D21" s="167"/>
      <c r="E21" s="167"/>
      <c r="F21" s="167"/>
      <c r="G21" s="167"/>
      <c r="H21" s="146"/>
      <c r="I21" s="146"/>
      <c r="J21" s="142"/>
      <c r="K21" s="146" t="str">
        <f t="shared" si="0"/>
        <v>Add</v>
      </c>
      <c r="L21" s="146"/>
      <c r="M21" s="146"/>
      <c r="N21" s="146"/>
      <c r="O21" s="146"/>
      <c r="P21" s="146"/>
    </row>
    <row r="22" spans="1:16" s="3" customFormat="1">
      <c r="A22" s="147"/>
      <c r="B22" s="166" t="s">
        <v>130</v>
      </c>
      <c r="C22" s="167"/>
      <c r="D22" s="167"/>
      <c r="E22" s="167"/>
      <c r="F22" s="167"/>
      <c r="G22" s="167"/>
      <c r="H22" s="146"/>
      <c r="I22" s="146"/>
      <c r="J22" s="142"/>
      <c r="K22" s="146" t="str">
        <f t="shared" si="0"/>
        <v>Add</v>
      </c>
      <c r="L22" s="146"/>
      <c r="M22" s="146"/>
      <c r="N22" s="146"/>
      <c r="O22" s="146"/>
      <c r="P22" s="146"/>
    </row>
    <row r="23" spans="1:16" s="3" customFormat="1">
      <c r="A23" s="147"/>
      <c r="B23" s="166" t="s">
        <v>295</v>
      </c>
      <c r="C23" s="167"/>
      <c r="D23" s="167"/>
      <c r="E23" s="167"/>
      <c r="F23" s="167"/>
      <c r="G23" s="167"/>
      <c r="H23" s="146"/>
      <c r="I23" s="146"/>
      <c r="J23" s="142"/>
      <c r="K23" s="146" t="str">
        <f t="shared" si="0"/>
        <v>Add</v>
      </c>
      <c r="L23" s="146"/>
      <c r="M23" s="146"/>
      <c r="N23" s="146"/>
      <c r="O23" s="146"/>
      <c r="P23" s="146"/>
    </row>
    <row r="24" spans="1:16" s="3" customFormat="1">
      <c r="A24" s="147"/>
      <c r="B24" s="166" t="s">
        <v>296</v>
      </c>
      <c r="C24" s="166"/>
      <c r="D24" s="166"/>
      <c r="E24" s="166"/>
      <c r="F24" s="166"/>
      <c r="G24" s="166"/>
      <c r="H24" s="146"/>
      <c r="I24" s="146"/>
      <c r="J24" s="142"/>
      <c r="K24" s="146" t="str">
        <f t="shared" si="0"/>
        <v>Add</v>
      </c>
      <c r="L24" s="146"/>
      <c r="M24" s="146"/>
      <c r="N24" s="146"/>
      <c r="O24" s="146"/>
      <c r="P24" s="146"/>
    </row>
    <row r="25" spans="1:16" s="3" customFormat="1" ht="42">
      <c r="A25" s="147"/>
      <c r="B25" s="166" t="s">
        <v>297</v>
      </c>
      <c r="C25" s="166"/>
      <c r="D25" s="166"/>
      <c r="E25" s="166"/>
      <c r="F25" s="166"/>
      <c r="G25" s="166"/>
      <c r="H25" s="146"/>
      <c r="I25" s="146"/>
      <c r="J25" s="142"/>
      <c r="K25" s="146" t="str">
        <f t="shared" si="0"/>
        <v>Add</v>
      </c>
      <c r="L25" s="146"/>
      <c r="M25" s="146"/>
      <c r="N25" s="146"/>
      <c r="O25" s="146"/>
      <c r="P25" s="146"/>
    </row>
    <row r="26" spans="1:16" s="3" customFormat="1" ht="28">
      <c r="A26" s="149"/>
      <c r="B26" s="166" t="s">
        <v>298</v>
      </c>
      <c r="C26" s="168"/>
      <c r="D26" s="168"/>
      <c r="E26" s="168"/>
      <c r="F26" s="168"/>
      <c r="G26" s="168"/>
      <c r="H26" s="146"/>
      <c r="I26" s="146"/>
      <c r="J26" s="142"/>
      <c r="K26" s="146" t="str">
        <f t="shared" si="0"/>
        <v>Add</v>
      </c>
      <c r="L26" s="146"/>
      <c r="M26" s="146"/>
      <c r="N26" s="146"/>
      <c r="O26" s="146"/>
      <c r="P26" s="146"/>
    </row>
    <row r="27" spans="1:16" s="3" customFormat="1">
      <c r="A27" s="169"/>
      <c r="B27" s="139"/>
      <c r="C27" s="139"/>
      <c r="D27" s="139"/>
      <c r="E27" s="139"/>
      <c r="F27" s="139"/>
      <c r="G27" s="139"/>
      <c r="H27" s="146"/>
      <c r="I27" s="146"/>
      <c r="J27" s="142"/>
      <c r="K27" s="146"/>
      <c r="L27" s="146"/>
      <c r="M27" s="146"/>
      <c r="N27" s="146"/>
      <c r="O27" s="146"/>
      <c r="P27" s="146"/>
    </row>
    <row r="28" spans="1:16" s="3" customFormat="1">
      <c r="A28" s="169"/>
      <c r="B28" s="139"/>
      <c r="C28" s="139"/>
      <c r="D28" s="139"/>
      <c r="E28" s="139"/>
      <c r="F28" s="139"/>
      <c r="G28" s="139"/>
      <c r="H28" s="146"/>
      <c r="I28" s="146"/>
      <c r="J28" s="142"/>
      <c r="K28" s="146"/>
      <c r="L28" s="146"/>
      <c r="M28" s="146"/>
      <c r="N28" s="146"/>
      <c r="O28" s="146"/>
      <c r="P28" s="146"/>
    </row>
    <row r="29" spans="1:16" s="3" customFormat="1">
      <c r="A29" s="169"/>
      <c r="B29" s="139"/>
      <c r="C29" s="139"/>
      <c r="D29" s="139"/>
      <c r="E29" s="139"/>
      <c r="F29" s="139"/>
      <c r="G29" s="139"/>
      <c r="H29" s="146"/>
      <c r="I29" s="146"/>
      <c r="J29" s="156"/>
      <c r="K29" s="146"/>
      <c r="L29" s="146"/>
      <c r="M29" s="146"/>
      <c r="N29" s="146"/>
      <c r="O29" s="146"/>
      <c r="P29" s="146"/>
    </row>
    <row r="30" spans="1:16" s="3" customFormat="1">
      <c r="A30" s="169"/>
      <c r="B30" s="139"/>
      <c r="C30" s="139"/>
      <c r="D30" s="139"/>
      <c r="E30" s="139"/>
      <c r="F30" s="139"/>
      <c r="G30" s="139"/>
      <c r="H30" s="146"/>
      <c r="I30" s="146"/>
      <c r="J30" s="142"/>
      <c r="K30" s="146"/>
      <c r="L30" s="146"/>
      <c r="M30" s="146"/>
      <c r="N30" s="146"/>
      <c r="O30" s="146"/>
      <c r="P30" s="146"/>
    </row>
    <row r="31" spans="1:16" s="3" customFormat="1">
      <c r="A31" s="169"/>
      <c r="B31" s="139"/>
      <c r="C31" s="139"/>
      <c r="D31" s="139"/>
      <c r="E31" s="139"/>
      <c r="F31" s="139"/>
      <c r="G31" s="139"/>
      <c r="H31" s="146"/>
      <c r="I31" s="146"/>
      <c r="J31" s="142"/>
      <c r="K31" s="146"/>
      <c r="L31" s="146"/>
      <c r="M31" s="146"/>
      <c r="N31" s="146"/>
      <c r="O31" s="146"/>
      <c r="P31" s="146"/>
    </row>
    <row r="32" spans="1:16" s="3" customFormat="1">
      <c r="A32" s="169"/>
      <c r="B32" s="139"/>
      <c r="C32" s="139"/>
      <c r="D32" s="139"/>
      <c r="E32" s="139"/>
      <c r="F32" s="139"/>
      <c r="G32" s="139"/>
      <c r="H32" s="146"/>
      <c r="I32" s="146"/>
      <c r="J32" s="142"/>
      <c r="K32" s="146"/>
      <c r="L32" s="146"/>
      <c r="M32" s="146"/>
      <c r="N32" s="146"/>
      <c r="O32" s="146"/>
      <c r="P32" s="146"/>
    </row>
    <row r="33" spans="1:16" s="3" customFormat="1">
      <c r="A33" s="169"/>
      <c r="B33" s="139"/>
      <c r="C33" s="139"/>
      <c r="D33" s="139"/>
      <c r="E33" s="139"/>
      <c r="F33" s="139"/>
      <c r="G33" s="139"/>
      <c r="H33" s="146"/>
      <c r="I33" s="146"/>
      <c r="J33" s="142"/>
      <c r="K33" s="146"/>
      <c r="L33" s="146"/>
      <c r="M33" s="146"/>
      <c r="N33" s="146"/>
      <c r="O33" s="146"/>
      <c r="P33" s="146"/>
    </row>
    <row r="34" spans="1:16" s="3" customFormat="1">
      <c r="A34" s="169"/>
      <c r="B34" s="139"/>
      <c r="C34" s="139"/>
      <c r="D34" s="139"/>
      <c r="E34" s="139"/>
      <c r="F34" s="139"/>
      <c r="G34" s="139"/>
      <c r="H34" s="146"/>
      <c r="I34" s="146"/>
      <c r="J34" s="142"/>
      <c r="K34" s="146"/>
      <c r="L34" s="146"/>
      <c r="M34" s="146"/>
      <c r="N34" s="146"/>
      <c r="O34" s="146"/>
      <c r="P34" s="146"/>
    </row>
    <row r="35" spans="1:16" s="3" customFormat="1">
      <c r="A35" s="110"/>
      <c r="B35" s="139"/>
      <c r="C35" s="139"/>
      <c r="D35" s="139"/>
      <c r="E35" s="139"/>
      <c r="F35" s="139"/>
      <c r="G35" s="139"/>
      <c r="H35" s="146"/>
      <c r="I35" s="146"/>
      <c r="J35" s="142"/>
      <c r="K35" s="146"/>
      <c r="L35" s="146"/>
      <c r="M35" s="146"/>
      <c r="N35" s="146"/>
      <c r="O35" s="146"/>
      <c r="P35" s="146"/>
    </row>
    <row r="36" spans="1:16">
      <c r="A36" s="111"/>
      <c r="B36" s="139"/>
      <c r="C36" s="139"/>
      <c r="D36" s="139"/>
      <c r="E36" s="139"/>
      <c r="F36" s="139"/>
      <c r="G36" s="139"/>
      <c r="H36" s="139"/>
      <c r="I36" s="139"/>
      <c r="J36" s="139"/>
      <c r="K36" s="138"/>
      <c r="L36" s="146"/>
      <c r="M36" s="138"/>
      <c r="N36" s="138"/>
      <c r="O36" s="138"/>
      <c r="P36" s="138"/>
    </row>
    <row r="37" spans="1:16">
      <c r="A37" s="111"/>
      <c r="B37" s="139"/>
      <c r="C37" s="139"/>
      <c r="D37" s="139"/>
      <c r="E37" s="139"/>
      <c r="F37" s="139"/>
      <c r="G37" s="139"/>
      <c r="H37" s="138"/>
      <c r="I37" s="138"/>
      <c r="J37" s="138"/>
      <c r="K37" s="138"/>
      <c r="L37" s="138"/>
      <c r="M37" s="138"/>
      <c r="N37" s="138"/>
      <c r="O37" s="138"/>
      <c r="P37" s="138"/>
    </row>
    <row r="38" spans="1:16">
      <c r="A38" s="111"/>
      <c r="B38" s="139"/>
      <c r="C38" s="139"/>
      <c r="D38" s="139"/>
      <c r="E38" s="139"/>
      <c r="F38" s="139"/>
      <c r="G38" s="139"/>
      <c r="H38" s="138"/>
      <c r="I38" s="138"/>
      <c r="J38" s="138"/>
      <c r="K38" s="138"/>
      <c r="L38" s="138"/>
      <c r="M38" s="138"/>
      <c r="N38" s="138"/>
      <c r="O38" s="138"/>
      <c r="P38" s="138"/>
    </row>
  </sheetData>
  <sheetProtection algorithmName="SHA-512" hashValue="LmORrVIbvpKuT6rRPMQsCqV7qawraD6EnqPkEDEo8AGdddUNvtQcM7ruk4Qzl4MX2bRuQcj8r5I3rGGvZ3QcrQ==" saltValue="6DQcZzIMUVCeKHI5T9JvmQ==" spinCount="100000" sheet="1" formatRows="0"/>
  <protectedRanges>
    <protectedRange sqref="C11 C13:G15 C17:G26" name="Responses"/>
  </protectedRanges>
  <dataConsolidate link="1"/>
  <mergeCells count="8">
    <mergeCell ref="A8:G8"/>
    <mergeCell ref="C15:G15"/>
    <mergeCell ref="B16:G16"/>
    <mergeCell ref="C11:G11"/>
    <mergeCell ref="C10:G10"/>
    <mergeCell ref="B12:G12"/>
    <mergeCell ref="C13:G13"/>
    <mergeCell ref="C14:G14"/>
  </mergeCells>
  <conditionalFormatting sqref="C11 C13:C15 C17:G26">
    <cfRule type="expression" dxfId="253" priority="1">
      <formula>INDIRECT("k"&amp;ROW())="Shade"</formula>
    </cfRule>
    <cfRule type="expression" dxfId="252" priority="2">
      <formula>INDIRECT("k"&amp;ROW())="Done"</formula>
    </cfRule>
    <cfRule type="expression" dxfId="251" priority="3">
      <formula>INDIRECT("k"&amp;ROW())="Add"</formula>
    </cfRule>
  </conditionalFormatting>
  <dataValidations count="4">
    <dataValidation type="list" allowBlank="1" showInputMessage="1" showErrorMessage="1" sqref="H30:I35" xr:uid="{00000000-0002-0000-0A00-000000000000}">
      <formula1>"No, Yes - enclosed"</formula1>
    </dataValidation>
    <dataValidation type="list" allowBlank="1" showInputMessage="1" showErrorMessage="1" sqref="H14:I14 H16:I16" xr:uid="{00000000-0002-0000-0A00-000001000000}">
      <formula1>"Enclosed"</formula1>
    </dataValidation>
    <dataValidation type="list" allowBlank="1" showInputMessage="1" showErrorMessage="1" sqref="C11 C15" xr:uid="{00000000-0002-0000-0A00-000002000000}">
      <formula1>"Yes, No"</formula1>
    </dataValidation>
    <dataValidation type="decimal" operator="greaterThan" allowBlank="1" showInputMessage="1" showErrorMessage="1" sqref="C26:G26" xr:uid="{00000000-0002-0000-0A00-000003000000}">
      <formula1>0</formula1>
    </dataValidation>
  </dataValidations>
  <pageMargins left="0.78740157480314965" right="0.78740157480314965" top="0.39370078740157483" bottom="0.78740157480314965" header="0" footer="0.39370078740157483"/>
  <pageSetup paperSize="9" orientation="landscape" r:id="rId1"/>
  <headerFooter>
    <oddFooter>&amp;C&amp;"Arial,Regular"&amp;10&amp;K00-049&amp;P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L52"/>
  <sheetViews>
    <sheetView showGridLines="0" zoomScaleNormal="100" workbookViewId="0"/>
  </sheetViews>
  <sheetFormatPr baseColWidth="10" defaultColWidth="9" defaultRowHeight="14"/>
  <cols>
    <col min="1" max="1" width="9.5" style="134" customWidth="1"/>
    <col min="2" max="2" width="37.83203125" style="133" customWidth="1"/>
    <col min="3" max="3" width="32.6640625" style="134" customWidth="1"/>
    <col min="4" max="5" width="9.5" style="134" customWidth="1"/>
    <col min="6" max="6" width="9.1640625" style="134" customWidth="1"/>
    <col min="7" max="7" width="10.1640625" style="134" hidden="1" customWidth="1"/>
    <col min="8" max="9" width="8.83203125" style="134" customWidth="1"/>
    <col min="10" max="12" width="9.1640625" style="134" customWidth="1"/>
    <col min="13" max="16384" width="9" style="134"/>
  </cols>
  <sheetData>
    <row r="1" spans="1:12" s="454"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G1" s="460" t="str">
        <f>IF(SUM(COUNTIF(G19:G26, "Add")+COUNTIF(G30, "Add"))&gt;0, "Incomplete", "Complete")</f>
        <v>Incomplete</v>
      </c>
    </row>
    <row r="2" spans="1:12" s="454"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60"/>
    </row>
    <row r="3" spans="1:12" s="454" customFormat="1" ht="12.5" customHeight="1">
      <c r="B3" s="453"/>
    </row>
    <row r="4" spans="1:12" s="268" customFormat="1" ht="18">
      <c r="A4" s="266" t="s">
        <v>206</v>
      </c>
      <c r="B4" s="266" t="s">
        <v>363</v>
      </c>
      <c r="C4" s="267"/>
    </row>
    <row r="5" spans="1:12">
      <c r="A5" s="135"/>
      <c r="B5" s="136"/>
      <c r="C5" s="137"/>
      <c r="D5" s="138"/>
      <c r="E5" s="138"/>
      <c r="F5" s="138"/>
      <c r="G5" s="138"/>
      <c r="H5" s="138"/>
      <c r="I5" s="138"/>
      <c r="J5" s="138"/>
      <c r="K5" s="138"/>
      <c r="L5" s="138"/>
    </row>
    <row r="6" spans="1:12">
      <c r="A6" s="358" t="s">
        <v>365</v>
      </c>
      <c r="B6" s="358" t="s">
        <v>366</v>
      </c>
      <c r="C6" s="138"/>
      <c r="D6" s="138"/>
      <c r="E6" s="138"/>
      <c r="F6" s="138"/>
      <c r="G6" s="138"/>
      <c r="H6" s="138"/>
      <c r="I6" s="138"/>
      <c r="J6" s="138"/>
      <c r="K6" s="138"/>
      <c r="L6" s="138"/>
    </row>
    <row r="7" spans="1:12">
      <c r="A7" s="138"/>
      <c r="B7" s="139"/>
      <c r="C7" s="138"/>
      <c r="D7" s="138"/>
      <c r="E7" s="138"/>
      <c r="F7" s="138"/>
      <c r="G7" s="138"/>
      <c r="H7" s="138"/>
      <c r="I7" s="138"/>
      <c r="J7" s="138"/>
      <c r="K7" s="138"/>
      <c r="L7" s="138"/>
    </row>
    <row r="8" spans="1:12" ht="25.5" customHeight="1">
      <c r="A8" s="546" t="s">
        <v>299</v>
      </c>
      <c r="B8" s="546"/>
      <c r="C8" s="546"/>
      <c r="D8" s="138"/>
      <c r="E8" s="138"/>
      <c r="F8" s="138"/>
      <c r="G8" s="138"/>
      <c r="H8" s="138"/>
      <c r="I8" s="138"/>
      <c r="J8" s="138"/>
      <c r="K8" s="138"/>
      <c r="L8" s="138"/>
    </row>
    <row r="9" spans="1:12">
      <c r="A9" s="138"/>
      <c r="B9" s="139"/>
      <c r="C9" s="139"/>
      <c r="D9" s="138"/>
      <c r="E9" s="138"/>
      <c r="F9" s="138"/>
      <c r="G9" s="138"/>
      <c r="H9" s="138"/>
      <c r="I9" s="138"/>
      <c r="J9" s="138"/>
      <c r="K9" s="138"/>
      <c r="L9" s="138"/>
    </row>
    <row r="10" spans="1:12" ht="27" customHeight="1">
      <c r="A10" s="546" t="s">
        <v>300</v>
      </c>
      <c r="B10" s="546"/>
      <c r="C10" s="546"/>
      <c r="D10" s="138"/>
      <c r="E10" s="138"/>
      <c r="F10" s="138"/>
      <c r="G10" s="138"/>
      <c r="H10" s="138"/>
      <c r="I10" s="138"/>
      <c r="J10" s="138"/>
      <c r="K10" s="138"/>
      <c r="L10" s="138"/>
    </row>
    <row r="11" spans="1:12">
      <c r="A11" s="138"/>
      <c r="B11" s="139"/>
      <c r="C11" s="139"/>
      <c r="D11" s="138"/>
      <c r="E11" s="138"/>
      <c r="F11" s="138"/>
      <c r="G11" s="138"/>
      <c r="H11" s="138"/>
      <c r="I11" s="138"/>
      <c r="J11" s="138"/>
      <c r="K11" s="138"/>
      <c r="L11" s="138"/>
    </row>
    <row r="12" spans="1:12" ht="28.5" customHeight="1">
      <c r="A12" s="546" t="s">
        <v>301</v>
      </c>
      <c r="B12" s="534"/>
      <c r="C12" s="534"/>
      <c r="D12" s="138"/>
      <c r="E12" s="138"/>
      <c r="F12" s="138"/>
      <c r="G12" s="138"/>
      <c r="H12" s="138"/>
      <c r="I12" s="138"/>
      <c r="J12" s="138"/>
      <c r="K12" s="138"/>
      <c r="L12" s="138"/>
    </row>
    <row r="13" spans="1:12">
      <c r="A13" s="138"/>
      <c r="B13" s="139"/>
      <c r="C13" s="139"/>
      <c r="D13" s="138"/>
      <c r="E13" s="138"/>
      <c r="F13" s="138"/>
      <c r="G13" s="138"/>
      <c r="H13" s="138"/>
      <c r="I13" s="138"/>
      <c r="J13" s="138"/>
      <c r="K13" s="138"/>
      <c r="L13" s="138"/>
    </row>
    <row r="14" spans="1:12" ht="28.5" customHeight="1">
      <c r="A14" s="546" t="s">
        <v>302</v>
      </c>
      <c r="B14" s="534"/>
      <c r="C14" s="534"/>
      <c r="D14" s="138"/>
      <c r="E14" s="138"/>
      <c r="F14" s="138"/>
      <c r="G14" s="138"/>
      <c r="H14" s="138"/>
      <c r="I14" s="138"/>
      <c r="J14" s="138"/>
      <c r="K14" s="138"/>
      <c r="L14" s="138"/>
    </row>
    <row r="15" spans="1:12">
      <c r="A15" s="138"/>
      <c r="B15" s="139"/>
      <c r="C15" s="139"/>
      <c r="D15" s="138"/>
      <c r="E15" s="138"/>
      <c r="F15" s="138"/>
      <c r="G15" s="138"/>
      <c r="H15" s="138"/>
      <c r="I15" s="138"/>
      <c r="J15" s="138"/>
      <c r="K15" s="138"/>
      <c r="L15" s="138"/>
    </row>
    <row r="16" spans="1:12" ht="14" customHeight="1">
      <c r="A16" s="546" t="s">
        <v>303</v>
      </c>
      <c r="B16" s="534"/>
      <c r="C16" s="534"/>
      <c r="D16" s="138"/>
      <c r="E16" s="138"/>
      <c r="F16" s="138"/>
      <c r="G16" s="138"/>
      <c r="H16" s="138"/>
      <c r="I16" s="138"/>
      <c r="J16" s="138"/>
      <c r="K16" s="138"/>
      <c r="L16" s="138"/>
    </row>
    <row r="17" spans="1:12">
      <c r="A17" s="138"/>
      <c r="B17" s="139"/>
      <c r="C17" s="138"/>
      <c r="D17" s="138"/>
      <c r="E17" s="138"/>
      <c r="F17" s="138"/>
      <c r="G17" s="138"/>
      <c r="H17" s="138"/>
      <c r="I17" s="138"/>
      <c r="J17" s="138"/>
      <c r="K17" s="138"/>
      <c r="L17" s="138"/>
    </row>
    <row r="18" spans="1:12">
      <c r="A18" s="184" t="s">
        <v>925</v>
      </c>
      <c r="B18" s="184" t="s">
        <v>209</v>
      </c>
      <c r="C18" s="184" t="s">
        <v>19</v>
      </c>
      <c r="D18" s="138"/>
      <c r="E18" s="138"/>
      <c r="F18" s="138"/>
      <c r="G18" s="138"/>
      <c r="H18" s="138"/>
      <c r="I18" s="138"/>
      <c r="J18" s="138"/>
      <c r="K18" s="138"/>
      <c r="L18" s="138"/>
    </row>
    <row r="19" spans="1:12" s="3" customFormat="1">
      <c r="A19" s="166" t="s">
        <v>304</v>
      </c>
      <c r="B19" s="125" t="s">
        <v>305</v>
      </c>
      <c r="C19" s="140"/>
      <c r="D19" s="141"/>
      <c r="E19" s="141"/>
      <c r="F19" s="142"/>
      <c r="G19" s="142" t="str">
        <f>IF(C19&lt;&gt;"", "Done", "Add")</f>
        <v>Add</v>
      </c>
      <c r="H19" s="18"/>
      <c r="I19" s="142"/>
      <c r="J19" s="142"/>
      <c r="K19" s="142"/>
      <c r="L19" s="142"/>
    </row>
    <row r="20" spans="1:12" s="3" customFormat="1">
      <c r="A20" s="166" t="s">
        <v>306</v>
      </c>
      <c r="B20" s="125" t="s">
        <v>307</v>
      </c>
      <c r="C20" s="140"/>
      <c r="D20" s="141"/>
      <c r="E20" s="141"/>
      <c r="F20" s="142"/>
      <c r="G20" s="142" t="str">
        <f>IF(C20&lt;&gt;"", "Done", "Add")</f>
        <v>Add</v>
      </c>
      <c r="H20" s="18"/>
      <c r="I20" s="142"/>
      <c r="J20" s="142"/>
      <c r="K20" s="142"/>
      <c r="L20" s="142"/>
    </row>
    <row r="21" spans="1:12" s="3" customFormat="1">
      <c r="A21" s="166" t="s">
        <v>308</v>
      </c>
      <c r="B21" s="125" t="s">
        <v>309</v>
      </c>
      <c r="C21" s="140"/>
      <c r="D21" s="141"/>
      <c r="E21" s="143"/>
      <c r="F21" s="142"/>
      <c r="G21" s="142" t="str">
        <f t="shared" ref="G21:G30" si="0">IF(C21&lt;&gt;"", "Done", "Add")</f>
        <v>Add</v>
      </c>
      <c r="H21" s="18"/>
      <c r="I21" s="142"/>
      <c r="J21" s="142"/>
      <c r="K21" s="142"/>
      <c r="L21" s="142"/>
    </row>
    <row r="22" spans="1:12" s="3" customFormat="1">
      <c r="A22" s="166" t="s">
        <v>310</v>
      </c>
      <c r="B22" s="144" t="s">
        <v>311</v>
      </c>
      <c r="C22" s="145"/>
      <c r="D22" s="141"/>
      <c r="E22" s="141"/>
      <c r="F22" s="142"/>
      <c r="G22" s="142" t="str">
        <f t="shared" si="0"/>
        <v>Add</v>
      </c>
      <c r="H22" s="18"/>
      <c r="I22" s="142"/>
      <c r="J22" s="142"/>
      <c r="K22" s="142"/>
      <c r="L22" s="142"/>
    </row>
    <row r="23" spans="1:12" s="3" customFormat="1">
      <c r="A23" s="166" t="s">
        <v>312</v>
      </c>
      <c r="B23" s="125" t="s">
        <v>133</v>
      </c>
      <c r="C23" s="140"/>
      <c r="D23" s="146"/>
      <c r="E23" s="146"/>
      <c r="F23" s="142"/>
      <c r="G23" s="142" t="str">
        <f t="shared" si="0"/>
        <v>Add</v>
      </c>
      <c r="H23" s="18"/>
      <c r="I23" s="146"/>
      <c r="J23" s="146"/>
      <c r="K23" s="146"/>
      <c r="L23" s="146"/>
    </row>
    <row r="24" spans="1:12" s="3" customFormat="1">
      <c r="A24" s="185" t="s">
        <v>313</v>
      </c>
      <c r="B24" s="144" t="s">
        <v>314</v>
      </c>
      <c r="C24" s="140"/>
      <c r="D24" s="146"/>
      <c r="E24" s="146"/>
      <c r="F24" s="142"/>
      <c r="G24" s="142" t="str">
        <f t="shared" si="0"/>
        <v>Add</v>
      </c>
      <c r="H24" s="18"/>
      <c r="I24" s="146"/>
      <c r="J24" s="146"/>
      <c r="K24" s="146"/>
      <c r="L24" s="146"/>
    </row>
    <row r="25" spans="1:12" s="3" customFormat="1">
      <c r="A25" s="187"/>
      <c r="B25" s="148"/>
      <c r="C25" s="140"/>
      <c r="D25" s="146"/>
      <c r="E25" s="146"/>
      <c r="F25" s="142"/>
      <c r="G25" s="142" t="str">
        <f t="shared" si="0"/>
        <v>Add</v>
      </c>
      <c r="H25" s="18"/>
      <c r="I25" s="146"/>
      <c r="J25" s="146"/>
      <c r="K25" s="146"/>
      <c r="L25" s="146"/>
    </row>
    <row r="26" spans="1:12" s="3" customFormat="1">
      <c r="A26" s="187"/>
      <c r="B26" s="148"/>
      <c r="C26" s="140"/>
      <c r="D26" s="146"/>
      <c r="E26" s="146"/>
      <c r="F26" s="142"/>
      <c r="G26" s="142" t="str">
        <f t="shared" si="0"/>
        <v>Add</v>
      </c>
      <c r="H26" s="18"/>
      <c r="I26" s="146"/>
      <c r="J26" s="146"/>
      <c r="K26" s="146"/>
      <c r="L26" s="146"/>
    </row>
    <row r="27" spans="1:12" s="3" customFormat="1">
      <c r="A27" s="187"/>
      <c r="B27" s="148"/>
      <c r="C27" s="140"/>
      <c r="D27" s="146"/>
      <c r="E27" s="146"/>
      <c r="F27" s="142"/>
      <c r="G27" s="142" t="str">
        <f>IF(C27&lt;&gt;"", "Done", "")</f>
        <v/>
      </c>
      <c r="H27" s="18"/>
      <c r="I27" s="146"/>
      <c r="J27" s="146"/>
      <c r="K27" s="146"/>
      <c r="L27" s="146"/>
    </row>
    <row r="28" spans="1:12" s="3" customFormat="1">
      <c r="A28" s="186"/>
      <c r="B28" s="150"/>
      <c r="C28" s="140"/>
      <c r="D28" s="146"/>
      <c r="E28" s="146"/>
      <c r="F28" s="142"/>
      <c r="G28" s="142" t="str">
        <f>IF(C28&lt;&gt;"", "Done", "")</f>
        <v/>
      </c>
      <c r="H28" s="18"/>
      <c r="I28" s="146"/>
      <c r="J28" s="146"/>
      <c r="K28" s="146"/>
      <c r="L28" s="146"/>
    </row>
    <row r="29" spans="1:12" s="3" customFormat="1" ht="42.75" customHeight="1">
      <c r="A29" s="166" t="s">
        <v>315</v>
      </c>
      <c r="B29" s="125" t="s">
        <v>316</v>
      </c>
      <c r="C29" s="145"/>
      <c r="D29" s="146"/>
      <c r="E29" s="146"/>
      <c r="F29" s="142"/>
      <c r="G29" s="142"/>
      <c r="H29" s="146"/>
      <c r="I29" s="146"/>
      <c r="J29" s="146"/>
      <c r="K29" s="146"/>
      <c r="L29" s="146"/>
    </row>
    <row r="30" spans="1:12" s="3" customFormat="1">
      <c r="A30" s="166" t="s">
        <v>317</v>
      </c>
      <c r="B30" s="125" t="s">
        <v>21</v>
      </c>
      <c r="C30" s="151"/>
      <c r="D30" s="146"/>
      <c r="E30" s="146"/>
      <c r="F30" s="142"/>
      <c r="G30" s="142" t="str">
        <f t="shared" si="0"/>
        <v>Add</v>
      </c>
      <c r="H30" s="146"/>
      <c r="I30" s="146"/>
      <c r="J30" s="146"/>
      <c r="K30" s="146"/>
      <c r="L30" s="146"/>
    </row>
    <row r="31" spans="1:12" s="3" customFormat="1">
      <c r="A31" s="152"/>
      <c r="B31" s="153"/>
      <c r="C31" s="154"/>
      <c r="D31" s="146"/>
      <c r="E31" s="146"/>
      <c r="F31" s="142"/>
      <c r="G31" s="142"/>
      <c r="H31" s="146"/>
      <c r="I31" s="146"/>
      <c r="J31" s="146"/>
      <c r="K31" s="146"/>
      <c r="L31" s="146"/>
    </row>
    <row r="32" spans="1:12" s="3" customFormat="1">
      <c r="A32" s="155"/>
      <c r="B32" s="139"/>
      <c r="C32" s="139"/>
      <c r="D32" s="146"/>
      <c r="E32" s="146"/>
      <c r="F32" s="142"/>
      <c r="G32" s="146"/>
      <c r="H32" s="146"/>
      <c r="I32" s="146"/>
      <c r="J32" s="146"/>
      <c r="K32" s="146"/>
      <c r="L32" s="146"/>
    </row>
    <row r="33" spans="1:12" s="3" customFormat="1">
      <c r="A33" s="155"/>
      <c r="B33" s="139"/>
      <c r="C33" s="139"/>
      <c r="D33" s="146"/>
      <c r="E33" s="146"/>
      <c r="F33" s="156"/>
      <c r="G33" s="146"/>
      <c r="H33" s="146"/>
      <c r="I33" s="146"/>
      <c r="J33" s="146"/>
      <c r="K33" s="146"/>
      <c r="L33" s="146"/>
    </row>
    <row r="34" spans="1:12" s="3" customFormat="1">
      <c r="A34" s="155"/>
      <c r="B34" s="139"/>
      <c r="C34" s="139"/>
      <c r="D34" s="146"/>
      <c r="E34" s="146"/>
      <c r="F34" s="142"/>
      <c r="G34" s="146"/>
      <c r="H34" s="146"/>
      <c r="I34" s="146"/>
      <c r="J34" s="146"/>
      <c r="K34" s="146"/>
      <c r="L34" s="146"/>
    </row>
    <row r="35" spans="1:12" s="3" customFormat="1">
      <c r="A35" s="155"/>
      <c r="B35" s="139"/>
      <c r="C35" s="139"/>
      <c r="D35" s="146"/>
      <c r="E35" s="146"/>
      <c r="F35" s="156"/>
      <c r="G35" s="146"/>
      <c r="H35" s="146"/>
      <c r="I35" s="146"/>
      <c r="J35" s="146"/>
      <c r="K35" s="146"/>
      <c r="L35" s="146"/>
    </row>
    <row r="36" spans="1:12" s="3" customFormat="1">
      <c r="A36" s="155"/>
      <c r="B36" s="139"/>
      <c r="C36" s="139"/>
      <c r="D36" s="146"/>
      <c r="E36" s="146"/>
      <c r="F36" s="142"/>
      <c r="G36" s="146"/>
      <c r="H36" s="146"/>
      <c r="I36" s="146"/>
      <c r="J36" s="146"/>
      <c r="K36" s="146"/>
      <c r="L36" s="146"/>
    </row>
    <row r="37" spans="1:12" s="3" customFormat="1">
      <c r="A37" s="155"/>
      <c r="B37" s="139"/>
      <c r="C37" s="139"/>
      <c r="D37" s="146"/>
      <c r="E37" s="146"/>
      <c r="F37" s="142"/>
      <c r="G37" s="146"/>
      <c r="H37" s="146"/>
      <c r="I37" s="146"/>
      <c r="J37" s="146"/>
      <c r="K37" s="146"/>
      <c r="L37" s="146"/>
    </row>
    <row r="38" spans="1:12" s="3" customFormat="1">
      <c r="A38" s="155"/>
      <c r="B38" s="139"/>
      <c r="C38" s="139"/>
      <c r="D38" s="146"/>
      <c r="E38" s="146"/>
      <c r="F38" s="142"/>
      <c r="G38" s="146"/>
      <c r="H38" s="146"/>
      <c r="I38" s="146"/>
      <c r="J38" s="146"/>
      <c r="K38" s="146"/>
      <c r="L38" s="146"/>
    </row>
    <row r="39" spans="1:12" s="3" customFormat="1">
      <c r="A39" s="155"/>
      <c r="B39" s="139"/>
      <c r="C39" s="139"/>
      <c r="D39" s="146"/>
      <c r="E39" s="146"/>
      <c r="F39" s="142"/>
      <c r="G39" s="146"/>
      <c r="H39" s="146"/>
      <c r="I39" s="146"/>
      <c r="J39" s="146"/>
      <c r="K39" s="146"/>
      <c r="L39" s="146"/>
    </row>
    <row r="40" spans="1:12" s="3" customFormat="1">
      <c r="A40" s="155"/>
      <c r="B40" s="139"/>
      <c r="C40" s="139"/>
      <c r="D40" s="146"/>
      <c r="E40" s="146"/>
      <c r="F40" s="142"/>
      <c r="G40" s="146"/>
      <c r="H40" s="146"/>
      <c r="I40" s="146"/>
      <c r="J40" s="146"/>
      <c r="K40" s="146"/>
      <c r="L40" s="146"/>
    </row>
    <row r="41" spans="1:12" s="3" customFormat="1">
      <c r="A41" s="155"/>
      <c r="B41" s="139"/>
      <c r="C41" s="139"/>
      <c r="D41" s="146"/>
      <c r="E41" s="146"/>
      <c r="F41" s="142"/>
      <c r="G41" s="146"/>
      <c r="H41" s="146"/>
      <c r="I41" s="146"/>
      <c r="J41" s="146"/>
      <c r="K41" s="146"/>
      <c r="L41" s="146"/>
    </row>
    <row r="42" spans="1:12" s="3" customFormat="1">
      <c r="A42" s="155"/>
      <c r="B42" s="139"/>
      <c r="C42" s="139"/>
      <c r="D42" s="146"/>
      <c r="E42" s="146"/>
      <c r="F42" s="142"/>
      <c r="G42" s="146"/>
      <c r="H42" s="146"/>
      <c r="I42" s="146"/>
      <c r="J42" s="146"/>
      <c r="K42" s="146"/>
      <c r="L42" s="146"/>
    </row>
    <row r="43" spans="1:12" s="3" customFormat="1">
      <c r="A43" s="155"/>
      <c r="B43" s="139"/>
      <c r="C43" s="139"/>
      <c r="D43" s="146"/>
      <c r="E43" s="146"/>
      <c r="F43" s="156"/>
      <c r="G43" s="146"/>
      <c r="H43" s="146"/>
      <c r="I43" s="146"/>
      <c r="J43" s="146"/>
      <c r="K43" s="146"/>
      <c r="L43" s="146"/>
    </row>
    <row r="44" spans="1:12" s="3" customFormat="1">
      <c r="A44" s="155"/>
      <c r="B44" s="139"/>
      <c r="C44" s="139"/>
      <c r="D44" s="146"/>
      <c r="E44" s="146"/>
      <c r="F44" s="142"/>
      <c r="G44" s="146"/>
      <c r="H44" s="146"/>
      <c r="I44" s="146"/>
      <c r="J44" s="146"/>
      <c r="K44" s="146"/>
      <c r="L44" s="146"/>
    </row>
    <row r="45" spans="1:12" s="3" customFormat="1">
      <c r="A45" s="155"/>
      <c r="B45" s="139"/>
      <c r="C45" s="139"/>
      <c r="D45" s="146"/>
      <c r="E45" s="146"/>
      <c r="F45" s="142"/>
      <c r="G45" s="146"/>
      <c r="H45" s="146"/>
      <c r="I45" s="146"/>
      <c r="J45" s="146"/>
      <c r="K45" s="146"/>
      <c r="L45" s="146"/>
    </row>
    <row r="46" spans="1:12" s="3" customFormat="1">
      <c r="A46" s="155"/>
      <c r="B46" s="139"/>
      <c r="C46" s="139"/>
      <c r="D46" s="146"/>
      <c r="E46" s="146"/>
      <c r="F46" s="142"/>
      <c r="G46" s="146"/>
      <c r="H46" s="146"/>
      <c r="I46" s="146"/>
      <c r="J46" s="146"/>
      <c r="K46" s="146"/>
      <c r="L46" s="146"/>
    </row>
    <row r="47" spans="1:12" s="3" customFormat="1">
      <c r="A47" s="155"/>
      <c r="B47" s="139"/>
      <c r="C47" s="139"/>
      <c r="D47" s="146"/>
      <c r="E47" s="146"/>
      <c r="F47" s="142"/>
      <c r="G47" s="146"/>
      <c r="H47" s="146"/>
      <c r="I47" s="146"/>
      <c r="J47" s="146"/>
      <c r="K47" s="146"/>
      <c r="L47" s="146"/>
    </row>
    <row r="48" spans="1:12" s="3" customFormat="1">
      <c r="A48" s="155"/>
      <c r="B48" s="139"/>
      <c r="C48" s="139"/>
      <c r="D48" s="146"/>
      <c r="E48" s="146"/>
      <c r="F48" s="142"/>
      <c r="G48" s="146"/>
      <c r="H48" s="146"/>
      <c r="I48" s="146"/>
      <c r="J48" s="146"/>
      <c r="K48" s="146"/>
      <c r="L48" s="146"/>
    </row>
    <row r="49" spans="1:12" s="3" customFormat="1">
      <c r="A49" s="157"/>
      <c r="B49" s="139"/>
      <c r="C49" s="139"/>
      <c r="D49" s="146"/>
      <c r="E49" s="146"/>
      <c r="F49" s="142"/>
      <c r="G49" s="146"/>
      <c r="H49" s="146"/>
      <c r="I49" s="146"/>
      <c r="J49" s="146"/>
      <c r="K49" s="146"/>
      <c r="L49" s="146"/>
    </row>
    <row r="50" spans="1:12">
      <c r="A50" s="139"/>
      <c r="B50" s="139"/>
      <c r="C50" s="139"/>
      <c r="D50" s="139"/>
      <c r="E50" s="139"/>
      <c r="F50" s="139"/>
      <c r="G50" s="138"/>
      <c r="H50" s="146"/>
      <c r="I50" s="138"/>
      <c r="J50" s="138"/>
      <c r="K50" s="138"/>
      <c r="L50" s="138"/>
    </row>
    <row r="51" spans="1:12">
      <c r="A51" s="139"/>
      <c r="B51" s="139"/>
      <c r="C51" s="139"/>
      <c r="D51" s="138"/>
      <c r="E51" s="138"/>
      <c r="F51" s="138"/>
      <c r="G51" s="138"/>
      <c r="H51" s="138"/>
      <c r="I51" s="138"/>
      <c r="J51" s="138"/>
      <c r="K51" s="138"/>
      <c r="L51" s="138"/>
    </row>
    <row r="52" spans="1:12">
      <c r="A52" s="139"/>
      <c r="B52" s="139"/>
      <c r="C52" s="139"/>
      <c r="D52" s="138"/>
      <c r="E52" s="138"/>
      <c r="F52" s="138"/>
      <c r="G52" s="138"/>
      <c r="H52" s="138"/>
      <c r="I52" s="138"/>
      <c r="J52" s="138"/>
      <c r="K52" s="138"/>
      <c r="L52" s="138"/>
    </row>
  </sheetData>
  <sheetProtection algorithmName="SHA-512" hashValue="xaFwTKpM3zeQEV76NTNirTdKkQCVaS2Uj1nb6nXLsqjoy6TI7uX0lhPUS5SnoDXgK1NOaNkWx9iLaHSDgrrXFA==" saltValue="04gnGqTfESi4kH4iyFbsSA==" spinCount="100000" sheet="1" formatRows="0"/>
  <protectedRanges>
    <protectedRange sqref="C19:C30" name="Responses"/>
  </protectedRanges>
  <dataConsolidate link="1"/>
  <mergeCells count="5">
    <mergeCell ref="A8:C8"/>
    <mergeCell ref="A10:C10"/>
    <mergeCell ref="A12:C12"/>
    <mergeCell ref="A14:C14"/>
    <mergeCell ref="A16:C16"/>
  </mergeCells>
  <conditionalFormatting sqref="C19:C30">
    <cfRule type="expression" dxfId="250" priority="1">
      <formula>INDIRECT("G"&amp;ROW())="Shade"</formula>
    </cfRule>
    <cfRule type="expression" dxfId="249" priority="2">
      <formula>INDIRECT("G"&amp;ROW())="Done"</formula>
    </cfRule>
    <cfRule type="expression" dxfId="248" priority="3">
      <formula>INDIRECT("G"&amp;ROW())="Add"</formula>
    </cfRule>
  </conditionalFormatting>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G22"/>
  <sheetViews>
    <sheetView showGridLines="0" zoomScaleNormal="100" workbookViewId="0"/>
  </sheetViews>
  <sheetFormatPr baseColWidth="10" defaultColWidth="9" defaultRowHeight="14"/>
  <cols>
    <col min="1" max="1" width="9.5" style="49" customWidth="1"/>
    <col min="2" max="2" width="37.83203125" style="19" customWidth="1"/>
    <col min="3" max="3" width="32.6640625" style="19" customWidth="1"/>
    <col min="4" max="4" width="9.5" style="19" customWidth="1"/>
    <col min="5" max="5" width="9.1640625" style="19" customWidth="1"/>
    <col min="6" max="6" width="9.1640625" style="29" customWidth="1"/>
    <col min="7" max="7" width="9.1640625" style="34" hidden="1" customWidth="1"/>
    <col min="8" max="16384" width="9" style="19"/>
  </cols>
  <sheetData>
    <row r="1" spans="1:7" s="44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G1" s="459" t="str">
        <f>IF(COUNTIF(G10:G21, "Add")&gt;0, "Incomplete", "Complete")</f>
        <v>Incomplete</v>
      </c>
    </row>
    <row r="2" spans="1:7" s="44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59"/>
    </row>
    <row r="3" spans="1:7" s="447" customFormat="1" ht="12.5" customHeight="1">
      <c r="A3" s="56"/>
      <c r="G3" s="448"/>
    </row>
    <row r="4" spans="1:7" s="271" customFormat="1" ht="18">
      <c r="A4" s="276" t="s">
        <v>207</v>
      </c>
      <c r="B4" s="266" t="s">
        <v>369</v>
      </c>
      <c r="C4" s="269"/>
      <c r="D4" s="269"/>
      <c r="E4" s="270"/>
      <c r="G4" s="462"/>
    </row>
    <row r="5" spans="1:7">
      <c r="A5" s="126"/>
      <c r="B5" s="127"/>
      <c r="C5" s="91"/>
      <c r="D5" s="91"/>
      <c r="E5" s="92"/>
      <c r="F5" s="128"/>
      <c r="G5" s="31"/>
    </row>
    <row r="6" spans="1:7">
      <c r="A6" s="358" t="s">
        <v>367</v>
      </c>
      <c r="B6" s="358" t="s">
        <v>132</v>
      </c>
      <c r="C6" s="91"/>
      <c r="D6" s="91"/>
      <c r="E6" s="92"/>
      <c r="F6" s="128"/>
      <c r="G6" s="31"/>
    </row>
    <row r="7" spans="1:7">
      <c r="A7" s="122"/>
      <c r="B7" s="123"/>
      <c r="C7" s="96"/>
      <c r="D7" s="96"/>
      <c r="E7" s="97"/>
      <c r="F7" s="124"/>
    </row>
    <row r="8" spans="1:7" s="107" customFormat="1" ht="28.5" customHeight="1">
      <c r="A8" s="546" t="s">
        <v>260</v>
      </c>
      <c r="B8" s="546"/>
      <c r="C8" s="546"/>
      <c r="D8" s="129"/>
      <c r="E8" s="130"/>
      <c r="F8" s="101"/>
      <c r="G8" s="131"/>
    </row>
    <row r="9" spans="1:7" ht="11.25" customHeight="1">
      <c r="A9" s="122"/>
      <c r="B9" s="123"/>
      <c r="C9" s="96"/>
      <c r="D9" s="96"/>
      <c r="E9" s="97"/>
      <c r="F9" s="124"/>
    </row>
    <row r="10" spans="1:7">
      <c r="A10" s="193" t="s">
        <v>925</v>
      </c>
      <c r="B10" s="193" t="s">
        <v>209</v>
      </c>
      <c r="C10" s="193" t="s">
        <v>19</v>
      </c>
      <c r="D10" s="96"/>
      <c r="E10" s="97"/>
      <c r="F10" s="124"/>
    </row>
    <row r="11" spans="1:7" ht="77.5" customHeight="1">
      <c r="A11" s="79" t="s">
        <v>318</v>
      </c>
      <c r="B11" s="549" t="s">
        <v>755</v>
      </c>
      <c r="C11" s="550"/>
      <c r="D11" s="29"/>
      <c r="E11" s="29"/>
      <c r="G11" s="34">
        <f>COUNTIF($C$12:$C$17, "Yes")</f>
        <v>0</v>
      </c>
    </row>
    <row r="12" spans="1:7" ht="28">
      <c r="A12" s="82"/>
      <c r="B12" s="125" t="s">
        <v>319</v>
      </c>
      <c r="C12" s="125"/>
      <c r="D12" s="29"/>
      <c r="E12" s="29"/>
      <c r="G12" s="34" t="str">
        <f t="shared" ref="G12:G17" si="0">IF(C12&lt;&gt;"", "Done", "Add")</f>
        <v>Add</v>
      </c>
    </row>
    <row r="13" spans="1:7" ht="28">
      <c r="A13" s="82"/>
      <c r="B13" s="125" t="s">
        <v>320</v>
      </c>
      <c r="C13" s="125"/>
      <c r="D13" s="29"/>
      <c r="E13" s="29"/>
      <c r="G13" s="34" t="str">
        <f t="shared" si="0"/>
        <v>Add</v>
      </c>
    </row>
    <row r="14" spans="1:7" ht="28">
      <c r="A14" s="82"/>
      <c r="B14" s="125" t="s">
        <v>321</v>
      </c>
      <c r="C14" s="125"/>
      <c r="D14" s="29"/>
      <c r="E14" s="29"/>
      <c r="G14" s="34" t="str">
        <f t="shared" si="0"/>
        <v>Add</v>
      </c>
    </row>
    <row r="15" spans="1:7" ht="42">
      <c r="A15" s="82"/>
      <c r="B15" s="125" t="s">
        <v>322</v>
      </c>
      <c r="C15" s="125"/>
      <c r="D15" s="29"/>
      <c r="E15" s="29"/>
      <c r="G15" s="34" t="str">
        <f t="shared" si="0"/>
        <v>Add</v>
      </c>
    </row>
    <row r="16" spans="1:7" ht="28">
      <c r="A16" s="82"/>
      <c r="B16" s="125" t="s">
        <v>323</v>
      </c>
      <c r="C16" s="125"/>
      <c r="D16" s="29"/>
      <c r="E16" s="29"/>
      <c r="G16" s="34" t="str">
        <f t="shared" si="0"/>
        <v>Add</v>
      </c>
    </row>
    <row r="17" spans="1:7" ht="42">
      <c r="A17" s="85"/>
      <c r="B17" s="125" t="s">
        <v>324</v>
      </c>
      <c r="C17" s="125"/>
      <c r="D17" s="29"/>
      <c r="E17" s="29"/>
      <c r="G17" s="34" t="str">
        <f t="shared" si="0"/>
        <v>Add</v>
      </c>
    </row>
    <row r="18" spans="1:7" ht="140">
      <c r="A18" s="102" t="s">
        <v>325</v>
      </c>
      <c r="B18" s="125" t="s">
        <v>326</v>
      </c>
      <c r="C18" s="125"/>
      <c r="D18" s="29"/>
      <c r="E18" s="29"/>
      <c r="G18" s="34" t="str">
        <f>IF($G$11=0, "Shade", IF(C18&lt;&gt;"", "Done", "Add"))</f>
        <v>Shade</v>
      </c>
    </row>
    <row r="19" spans="1:7" ht="70">
      <c r="A19" s="102">
        <v>2.2000000000000002</v>
      </c>
      <c r="B19" s="125" t="s">
        <v>327</v>
      </c>
      <c r="C19" s="125"/>
      <c r="D19" s="29"/>
      <c r="E19" s="29"/>
      <c r="G19" s="34" t="str">
        <f>IF($G$11=0, "Shade", IF(C19&lt;&gt;"", "Done", "Add"))</f>
        <v>Shade</v>
      </c>
    </row>
    <row r="20" spans="1:7" ht="140">
      <c r="A20" s="102" t="s">
        <v>328</v>
      </c>
      <c r="B20" s="125" t="s">
        <v>756</v>
      </c>
      <c r="C20" s="125"/>
      <c r="D20" s="29"/>
      <c r="E20" s="29"/>
      <c r="G20" s="34" t="str">
        <f>IF(C20&lt;&gt;"", "Done", "Add")</f>
        <v>Add</v>
      </c>
    </row>
    <row r="21" spans="1:7" ht="98">
      <c r="A21" s="102" t="s">
        <v>329</v>
      </c>
      <c r="B21" s="125" t="s">
        <v>330</v>
      </c>
      <c r="C21" s="125"/>
      <c r="D21" s="29"/>
      <c r="E21" s="29"/>
      <c r="G21" s="34" t="str">
        <f>IF($C$20="Yes", IF(C21&lt;&gt;"", "Done", "Add"), "Shade")</f>
        <v>Shade</v>
      </c>
    </row>
    <row r="22" spans="1:7" ht="39" customHeight="1">
      <c r="A22" s="192" t="s">
        <v>926</v>
      </c>
      <c r="B22" s="559" t="s">
        <v>331</v>
      </c>
      <c r="C22" s="559"/>
      <c r="D22" s="29"/>
      <c r="E22" s="29"/>
    </row>
  </sheetData>
  <sheetProtection algorithmName="SHA-512" hashValue="n4FPNKqgIZwilEJ+FGDdr5IlYYOgyxl8E2a9FS/CfJxKhovvQ1GVFB/LinyYJD8lxiA+hkl7+4AcWFDURvHLdw==" saltValue="G3sVOkiV4d+hS/2p2n9G7g==" spinCount="100000" sheet="1" formatRows="0"/>
  <protectedRanges>
    <protectedRange sqref="C12:C21" name="Responses"/>
  </protectedRanges>
  <mergeCells count="3">
    <mergeCell ref="B11:C11"/>
    <mergeCell ref="B22:C22"/>
    <mergeCell ref="A8:C8"/>
  </mergeCells>
  <conditionalFormatting sqref="C12:C21">
    <cfRule type="expression" dxfId="247" priority="1">
      <formula>INDIRECT("g"&amp;ROW())="Shade"</formula>
    </cfRule>
    <cfRule type="expression" dxfId="246" priority="2">
      <formula>INDIRECT("g"&amp;ROW())="Done"</formula>
    </cfRule>
    <cfRule type="expression" dxfId="245" priority="3">
      <formula>INDIRECT("g"&amp;ROW())="Add"</formula>
    </cfRule>
  </conditionalFormatting>
  <dataValidations count="2">
    <dataValidation type="list" allowBlank="1" showInputMessage="1" showErrorMessage="1" sqref="C12:C17 C20" xr:uid="{00000000-0002-0000-0C00-000000000000}">
      <formula1>"Yes, No"</formula1>
    </dataValidation>
    <dataValidation type="list" allowBlank="1" showInputMessage="1" showErrorMessage="1" sqref="C18:C19 C21" xr:uid="{00000000-0002-0000-0C00-000001000000}">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1:G24"/>
  <sheetViews>
    <sheetView showGridLines="0" zoomScaleNormal="100" workbookViewId="0"/>
  </sheetViews>
  <sheetFormatPr baseColWidth="10" defaultColWidth="9" defaultRowHeight="14"/>
  <cols>
    <col min="1" max="1" width="9.5" style="49" customWidth="1"/>
    <col min="2" max="2" width="37.83203125" style="19" customWidth="1"/>
    <col min="3" max="3" width="32.6640625" style="19" customWidth="1"/>
    <col min="4" max="4" width="9.5" style="19" customWidth="1"/>
    <col min="5" max="5" width="9.1640625" style="19" customWidth="1"/>
    <col min="6" max="6" width="9.1640625" style="29" customWidth="1"/>
    <col min="7" max="7" width="8.83203125" style="34" hidden="1" customWidth="1"/>
    <col min="8" max="16384" width="9" style="19"/>
  </cols>
  <sheetData>
    <row r="1" spans="1:7" s="45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G1" s="458" t="str">
        <f>IF(COUNTIF(G8:G24, "Add")&gt;0, "Incomplete", "Complete")</f>
        <v>Incomplete</v>
      </c>
    </row>
    <row r="2" spans="1:7" s="45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58"/>
    </row>
    <row r="3" spans="1:7" s="447" customFormat="1" ht="12.5" customHeight="1">
      <c r="A3" s="56"/>
      <c r="G3" s="448"/>
    </row>
    <row r="4" spans="1:7" s="271" customFormat="1" ht="18">
      <c r="A4" s="276" t="s">
        <v>207</v>
      </c>
      <c r="B4" s="266" t="s">
        <v>369</v>
      </c>
      <c r="C4" s="269"/>
      <c r="D4" s="269"/>
      <c r="E4" s="270"/>
      <c r="F4" s="269"/>
      <c r="G4" s="462"/>
    </row>
    <row r="5" spans="1:7">
      <c r="A5" s="122"/>
      <c r="B5" s="123"/>
      <c r="C5" s="96"/>
      <c r="D5" s="96"/>
      <c r="E5" s="97"/>
      <c r="F5" s="124"/>
    </row>
    <row r="6" spans="1:7">
      <c r="A6" s="358" t="s">
        <v>368</v>
      </c>
      <c r="B6" s="358" t="s">
        <v>131</v>
      </c>
      <c r="C6" s="96"/>
      <c r="D6" s="96"/>
      <c r="E6" s="97"/>
      <c r="F6" s="124"/>
    </row>
    <row r="7" spans="1:7">
      <c r="A7" s="122"/>
      <c r="B7" s="123"/>
      <c r="C7" s="96"/>
      <c r="D7" s="96"/>
      <c r="E7" s="97"/>
      <c r="F7" s="124"/>
    </row>
    <row r="8" spans="1:7">
      <c r="A8" s="193" t="s">
        <v>925</v>
      </c>
      <c r="B8" s="193" t="s">
        <v>209</v>
      </c>
      <c r="C8" s="193" t="s">
        <v>19</v>
      </c>
      <c r="D8" s="96"/>
      <c r="E8" s="97"/>
      <c r="F8" s="124"/>
    </row>
    <row r="9" spans="1:7" ht="80.25" customHeight="1">
      <c r="A9" s="102">
        <v>3.1</v>
      </c>
      <c r="B9" s="549" t="s">
        <v>754</v>
      </c>
      <c r="C9" s="550"/>
      <c r="D9" s="29"/>
      <c r="E9" s="29"/>
      <c r="G9" s="34">
        <f>COUNTIF($C$10:$C$18,"Yes")+COUNTIF($C$20:$C$23, "Yes")</f>
        <v>0</v>
      </c>
    </row>
    <row r="10" spans="1:7" ht="28">
      <c r="A10" s="102" t="s">
        <v>332</v>
      </c>
      <c r="B10" s="125" t="s">
        <v>333</v>
      </c>
      <c r="C10" s="125"/>
      <c r="D10" s="29"/>
      <c r="E10" s="29"/>
      <c r="G10" s="34" t="str">
        <f>IF(C10&lt;&gt;"", "Done", "Add")</f>
        <v>Add</v>
      </c>
    </row>
    <row r="11" spans="1:7" ht="28">
      <c r="A11" s="102" t="s">
        <v>334</v>
      </c>
      <c r="B11" s="125" t="s">
        <v>335</v>
      </c>
      <c r="C11" s="125"/>
      <c r="D11" s="29"/>
      <c r="E11" s="29"/>
      <c r="G11" s="34" t="str">
        <f t="shared" ref="G11:G23" si="0">IF(C11&lt;&gt;"", "Done", "Add")</f>
        <v>Add</v>
      </c>
    </row>
    <row r="12" spans="1:7" ht="28">
      <c r="A12" s="102" t="s">
        <v>336</v>
      </c>
      <c r="B12" s="125" t="s">
        <v>337</v>
      </c>
      <c r="C12" s="125"/>
      <c r="D12" s="29"/>
      <c r="E12" s="29"/>
      <c r="G12" s="34" t="str">
        <f t="shared" si="0"/>
        <v>Add</v>
      </c>
    </row>
    <row r="13" spans="1:7" ht="140">
      <c r="A13" s="102" t="s">
        <v>338</v>
      </c>
      <c r="B13" s="125" t="s">
        <v>339</v>
      </c>
      <c r="C13" s="125"/>
      <c r="D13" s="29"/>
      <c r="E13" s="29"/>
      <c r="G13" s="34" t="str">
        <f t="shared" si="0"/>
        <v>Add</v>
      </c>
    </row>
    <row r="14" spans="1:7" ht="28">
      <c r="A14" s="102" t="s">
        <v>340</v>
      </c>
      <c r="B14" s="125" t="s">
        <v>341</v>
      </c>
      <c r="C14" s="125"/>
      <c r="D14" s="29"/>
      <c r="E14" s="29"/>
      <c r="G14" s="34" t="str">
        <f t="shared" si="0"/>
        <v>Add</v>
      </c>
    </row>
    <row r="15" spans="1:7" ht="42">
      <c r="A15" s="102" t="s">
        <v>342</v>
      </c>
      <c r="B15" s="125" t="s">
        <v>343</v>
      </c>
      <c r="C15" s="125"/>
      <c r="D15" s="29"/>
      <c r="E15" s="29"/>
      <c r="G15" s="34" t="str">
        <f t="shared" si="0"/>
        <v>Add</v>
      </c>
    </row>
    <row r="16" spans="1:7" ht="56">
      <c r="A16" s="102" t="s">
        <v>344</v>
      </c>
      <c r="B16" s="125" t="s">
        <v>345</v>
      </c>
      <c r="C16" s="125"/>
      <c r="D16" s="29"/>
      <c r="E16" s="29"/>
      <c r="G16" s="34" t="str">
        <f t="shared" si="0"/>
        <v>Add</v>
      </c>
    </row>
    <row r="17" spans="1:7" ht="42">
      <c r="A17" s="102" t="s">
        <v>346</v>
      </c>
      <c r="B17" s="125" t="s">
        <v>347</v>
      </c>
      <c r="C17" s="125"/>
      <c r="D17" s="29"/>
      <c r="E17" s="29"/>
      <c r="G17" s="34" t="str">
        <f t="shared" si="0"/>
        <v>Add</v>
      </c>
    </row>
    <row r="18" spans="1:7" ht="112">
      <c r="A18" s="102" t="s">
        <v>348</v>
      </c>
      <c r="B18" s="125" t="s">
        <v>349</v>
      </c>
      <c r="C18" s="125"/>
      <c r="D18" s="29"/>
      <c r="E18" s="29"/>
      <c r="G18" s="34" t="str">
        <f t="shared" si="0"/>
        <v>Add</v>
      </c>
    </row>
    <row r="19" spans="1:7">
      <c r="A19" s="102" t="s">
        <v>350</v>
      </c>
      <c r="B19" s="549" t="s">
        <v>351</v>
      </c>
      <c r="C19" s="550"/>
      <c r="D19" s="29"/>
      <c r="E19" s="29"/>
    </row>
    <row r="20" spans="1:7" ht="84">
      <c r="A20" s="102" t="s">
        <v>352</v>
      </c>
      <c r="B20" s="125" t="s">
        <v>353</v>
      </c>
      <c r="C20" s="125"/>
      <c r="D20" s="29"/>
      <c r="E20" s="29"/>
      <c r="G20" s="34" t="str">
        <f t="shared" si="0"/>
        <v>Add</v>
      </c>
    </row>
    <row r="21" spans="1:7" ht="42">
      <c r="A21" s="102" t="s">
        <v>354</v>
      </c>
      <c r="B21" s="125" t="s">
        <v>355</v>
      </c>
      <c r="C21" s="125"/>
      <c r="D21" s="29"/>
      <c r="E21" s="29"/>
      <c r="G21" s="34" t="str">
        <f t="shared" si="0"/>
        <v>Add</v>
      </c>
    </row>
    <row r="22" spans="1:7" ht="70">
      <c r="A22" s="102" t="s">
        <v>356</v>
      </c>
      <c r="B22" s="125" t="s">
        <v>357</v>
      </c>
      <c r="C22" s="125"/>
      <c r="D22" s="29"/>
      <c r="E22" s="29"/>
      <c r="G22" s="34" t="str">
        <f t="shared" si="0"/>
        <v>Add</v>
      </c>
    </row>
    <row r="23" spans="1:7" ht="126">
      <c r="A23" s="102" t="s">
        <v>358</v>
      </c>
      <c r="B23" s="125" t="s">
        <v>359</v>
      </c>
      <c r="C23" s="125"/>
      <c r="D23" s="29"/>
      <c r="E23" s="29"/>
      <c r="G23" s="34" t="str">
        <f t="shared" si="0"/>
        <v>Add</v>
      </c>
    </row>
    <row r="24" spans="1:7" ht="70">
      <c r="A24" s="102">
        <v>3.2</v>
      </c>
      <c r="B24" s="125" t="s">
        <v>360</v>
      </c>
      <c r="C24" s="125"/>
      <c r="D24" s="29"/>
      <c r="E24" s="29"/>
      <c r="G24" s="34" t="str">
        <f>IF($G$9=0, "Shade", IF(C24&lt;&gt;"", "Done", "Add"))</f>
        <v>Shade</v>
      </c>
    </row>
  </sheetData>
  <sheetProtection algorithmName="SHA-512" hashValue="P276v+/lwfoy7mJN1HGDT1HtOWuawbifaEZlxM+Y++KseyxL6ihzpqU0buY/YjBYN7iEL7X1uHcAbhU3IlQY8A==" saltValue="7uvC37tcbHbTcyZ6SvpEgQ==" spinCount="100000" sheet="1" formatRows="0"/>
  <protectedRanges>
    <protectedRange sqref="C10:C18 C20:C24" name="Responses"/>
  </protectedRanges>
  <mergeCells count="2">
    <mergeCell ref="B9:C9"/>
    <mergeCell ref="B19:C19"/>
  </mergeCells>
  <conditionalFormatting sqref="C10:C18 C20:C24">
    <cfRule type="expression" dxfId="244" priority="1">
      <formula>INDIRECT("g"&amp;ROW())="Shade"</formula>
    </cfRule>
    <cfRule type="expression" dxfId="243" priority="2">
      <formula>INDIRECT("g"&amp;ROW())="Done"</formula>
    </cfRule>
    <cfRule type="expression" dxfId="242" priority="3">
      <formula>INDIRECT("g"&amp;ROW())="Add"</formula>
    </cfRule>
  </conditionalFormatting>
  <dataValidations disablePrompts="1" count="2">
    <dataValidation type="list" allowBlank="1" showInputMessage="1" showErrorMessage="1" sqref="C10:C18 C20:C23" xr:uid="{00000000-0002-0000-0D00-000000000000}">
      <formula1>"Yes, No"</formula1>
    </dataValidation>
    <dataValidation type="list" allowBlank="1" showInputMessage="1" showErrorMessage="1" sqref="C24" xr:uid="{00000000-0002-0000-0D00-000001000000}">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H29"/>
  <sheetViews>
    <sheetView showGridLines="0" zoomScaleNormal="100" workbookViewId="0"/>
  </sheetViews>
  <sheetFormatPr baseColWidth="10" defaultColWidth="9" defaultRowHeight="14"/>
  <cols>
    <col min="1" max="1" width="9.5" style="53" customWidth="1"/>
    <col min="2" max="2" width="37.83203125" style="19" customWidth="1"/>
    <col min="3" max="3" width="32.6640625" style="19" customWidth="1"/>
    <col min="4" max="5" width="9.5" style="19" customWidth="1"/>
    <col min="6" max="6" width="9.1640625" style="19" customWidth="1"/>
    <col min="7" max="7" width="8.83203125" style="34" hidden="1" customWidth="1"/>
    <col min="8" max="8" width="9.1640625" style="29" customWidth="1"/>
    <col min="9" max="9" width="14.33203125" style="19" customWidth="1"/>
    <col min="10" max="11" width="9.83203125" style="19" customWidth="1"/>
    <col min="12" max="16384" width="9" style="19"/>
  </cols>
  <sheetData>
    <row r="1" spans="1:8" s="44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G1" s="442" t="str">
        <f>IF(COUNTIF(G4:G52, "Add")&gt;0, "Incomplete", "Complete")</f>
        <v>Incomplete</v>
      </c>
    </row>
    <row r="2" spans="1:8" s="44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42"/>
    </row>
    <row r="3" spans="1:8" s="447" customFormat="1" ht="12.5" customHeight="1">
      <c r="A3" s="451"/>
      <c r="G3" s="448"/>
    </row>
    <row r="4" spans="1:8" s="271" customFormat="1" ht="18" customHeight="1">
      <c r="A4" s="266" t="s">
        <v>208</v>
      </c>
      <c r="B4" s="266" t="s">
        <v>361</v>
      </c>
      <c r="C4" s="269"/>
      <c r="D4" s="269"/>
      <c r="E4" s="269"/>
      <c r="F4" s="270"/>
      <c r="G4" s="269"/>
    </row>
    <row r="5" spans="1:8">
      <c r="A5" s="94"/>
      <c r="B5" s="95"/>
      <c r="C5" s="96"/>
      <c r="D5" s="96"/>
      <c r="E5" s="96"/>
      <c r="F5" s="97"/>
      <c r="G5" s="93"/>
    </row>
    <row r="6" spans="1:8" ht="15">
      <c r="A6" s="356" t="s">
        <v>362</v>
      </c>
      <c r="B6" s="359" t="s">
        <v>99</v>
      </c>
      <c r="C6" s="262"/>
      <c r="D6" s="262"/>
      <c r="E6" s="262"/>
      <c r="F6" s="262"/>
    </row>
    <row r="7" spans="1:8">
      <c r="A7" s="71"/>
      <c r="B7" s="114"/>
      <c r="C7" s="98"/>
      <c r="D7" s="98"/>
      <c r="E7" s="98"/>
      <c r="F7" s="98"/>
    </row>
    <row r="8" spans="1:8">
      <c r="A8" s="193" t="s">
        <v>925</v>
      </c>
      <c r="B8" s="193" t="s">
        <v>209</v>
      </c>
      <c r="C8" s="193" t="s">
        <v>19</v>
      </c>
      <c r="D8" s="74"/>
      <c r="E8" s="100"/>
      <c r="F8" s="101"/>
      <c r="G8" s="93"/>
    </row>
    <row r="9" spans="1:8" ht="25" customHeight="1">
      <c r="A9" s="194">
        <v>4.0999999999999996</v>
      </c>
      <c r="B9" s="561" t="str">
        <f>IF(Fin_Check="Yes", "Please indicate which of the following you have provided to demonstrate your economic/ financial standing:", "Are you able to provide a copy of your audited accounts for the last two years, if requested?")</f>
        <v>Are you able to provide a copy of your audited accounts for the last two years, if requested?</v>
      </c>
      <c r="C9" s="562"/>
      <c r="D9" s="74"/>
      <c r="E9" s="100"/>
      <c r="F9" s="101"/>
      <c r="G9" s="93"/>
    </row>
    <row r="10" spans="1:8" ht="28">
      <c r="A10" s="19"/>
      <c r="B10" s="216" t="str">
        <f>IF(Fin_Check="Yes", "A copy of your audited accounts for the last two years.  If no, can you provide one of the following: answer with Y/N in the relevant box.", "If no, can you provide one of the following: answer with Y/N in the relevant box.")</f>
        <v>If no, can you provide one of the following: answer with Y/N in the relevant box.</v>
      </c>
      <c r="C10" s="80"/>
      <c r="D10" s="115"/>
      <c r="E10" s="100"/>
      <c r="F10" s="101"/>
      <c r="G10" s="93" t="str">
        <f>IF(C10&lt;&gt;"", "Done", "Add")</f>
        <v>Add</v>
      </c>
    </row>
    <row r="11" spans="1:8" ht="70">
      <c r="A11" s="194" t="s">
        <v>377</v>
      </c>
      <c r="B11" s="89" t="s">
        <v>378</v>
      </c>
      <c r="C11" s="80"/>
      <c r="D11" s="115"/>
      <c r="E11" s="100"/>
      <c r="F11" s="101"/>
      <c r="G11" s="93" t="str">
        <f>IF($C$10="No", IF(OR(C11="No", C11="Yes"), "Done", IF(OR(C12="Yes", C13="Yes"),"Shade","Add")), "Shade")</f>
        <v>Shade</v>
      </c>
    </row>
    <row r="12" spans="1:8" ht="42">
      <c r="A12" s="194" t="s">
        <v>379</v>
      </c>
      <c r="B12" s="89" t="s">
        <v>380</v>
      </c>
      <c r="C12" s="80"/>
      <c r="D12" s="115"/>
      <c r="E12" s="100"/>
      <c r="F12" s="101"/>
      <c r="G12" s="93" t="str">
        <f>IF($C$10="No", IF(OR(C12="No", C12="Yes"), "Done", IF(OR(C13="Yes", C11="Yes"),"Shade","Add")), "Shade")</f>
        <v>Shade</v>
      </c>
    </row>
    <row r="13" spans="1:8" ht="98">
      <c r="A13" s="194" t="s">
        <v>381</v>
      </c>
      <c r="B13" s="89" t="s">
        <v>382</v>
      </c>
      <c r="C13" s="89"/>
      <c r="D13" s="116"/>
      <c r="E13" s="100"/>
      <c r="F13" s="101"/>
      <c r="G13" s="93" t="str">
        <f>IF($C$10="No", IF(OR(C13="No", C13="Yes"), "Done", IF(OR(C11="Yes", C12="Yes"),"Shade","Add")), "Shade")</f>
        <v>Shade</v>
      </c>
    </row>
    <row r="14" spans="1:8" ht="84">
      <c r="A14" s="194">
        <v>4.2</v>
      </c>
      <c r="B14" s="89" t="s">
        <v>383</v>
      </c>
      <c r="C14" s="102"/>
      <c r="D14" s="117"/>
      <c r="E14" s="98"/>
      <c r="F14" s="98"/>
      <c r="G14" s="223" t="s">
        <v>100</v>
      </c>
    </row>
    <row r="15" spans="1:8">
      <c r="A15" s="118"/>
      <c r="B15" s="116"/>
      <c r="C15" s="119"/>
      <c r="D15" s="115"/>
      <c r="E15" s="98"/>
      <c r="F15" s="98"/>
      <c r="G15" s="93"/>
    </row>
    <row r="16" spans="1:8" s="49" customFormat="1" ht="31" customHeight="1">
      <c r="A16" s="357" t="s">
        <v>384</v>
      </c>
      <c r="B16" s="560" t="s">
        <v>385</v>
      </c>
      <c r="C16" s="560"/>
      <c r="D16" s="73"/>
      <c r="E16" s="73"/>
      <c r="F16" s="73"/>
      <c r="G16" s="42"/>
      <c r="H16" s="40"/>
    </row>
    <row r="17" spans="1:7">
      <c r="A17" s="71"/>
      <c r="B17" s="114"/>
      <c r="C17" s="98"/>
      <c r="D17" s="98"/>
      <c r="E17" s="98"/>
      <c r="F17" s="98"/>
    </row>
    <row r="18" spans="1:7">
      <c r="A18" s="193" t="s">
        <v>925</v>
      </c>
      <c r="B18" s="193" t="s">
        <v>209</v>
      </c>
      <c r="C18" s="193" t="s">
        <v>19</v>
      </c>
      <c r="D18" s="74"/>
      <c r="E18" s="100"/>
      <c r="F18" s="101"/>
      <c r="G18" s="93"/>
    </row>
    <row r="19" spans="1:7">
      <c r="A19" s="194"/>
      <c r="B19" s="102" t="s">
        <v>307</v>
      </c>
      <c r="C19" s="80"/>
      <c r="D19" s="115"/>
      <c r="E19" s="100"/>
      <c r="F19" s="101"/>
      <c r="G19" s="93" t="str">
        <f>IF(AND('Part 1_Supplier Info'!$C$38="N/A", 'Part 1_Supplier Info'!$C$44="N/A"), "Shade", IF(C19&lt;&gt;"", "Done", "Add"))</f>
        <v>Add</v>
      </c>
    </row>
    <row r="20" spans="1:7" ht="28">
      <c r="A20" s="194"/>
      <c r="B20" s="102" t="s">
        <v>386</v>
      </c>
      <c r="C20" s="80"/>
      <c r="D20" s="115"/>
      <c r="E20" s="100"/>
      <c r="F20" s="101"/>
      <c r="G20" s="93" t="str">
        <f>IF(AND('Part 1_Supplier Info'!$C$38="N/A", 'Part 1_Supplier Info'!$C$44="N/A"), "Shade", IF(C20&lt;&gt;"", "Done", "Add"))</f>
        <v>Add</v>
      </c>
    </row>
    <row r="21" spans="1:7" ht="28">
      <c r="A21" s="194" t="s">
        <v>157</v>
      </c>
      <c r="B21" s="102" t="s">
        <v>387</v>
      </c>
      <c r="C21" s="80"/>
      <c r="D21" s="115"/>
      <c r="E21" s="100"/>
      <c r="F21" s="101"/>
      <c r="G21" s="93" t="str">
        <f>IF(AND('Part 1_Supplier Info'!$C$38="N/A", 'Part 1_Supplier Info'!$C$44="N/A"), "Shade", IF(C21&lt;&gt;"", "Done", "Add"))</f>
        <v>Add</v>
      </c>
    </row>
    <row r="22" spans="1:7" ht="28">
      <c r="A22" s="194" t="s">
        <v>390</v>
      </c>
      <c r="B22" s="102" t="s">
        <v>388</v>
      </c>
      <c r="C22" s="80"/>
      <c r="D22" s="115"/>
      <c r="E22" s="100"/>
      <c r="F22" s="101"/>
      <c r="G22" s="93" t="str">
        <f>IF(AND('Part 1_Supplier Info'!$C$38="N/A", 'Part 1_Supplier Info'!$C$44="N/A"), "Shade", IF(C22&lt;&gt;"", "Done", "Add"))</f>
        <v>Add</v>
      </c>
    </row>
    <row r="23" spans="1:7" ht="28">
      <c r="A23" s="194" t="s">
        <v>391</v>
      </c>
      <c r="B23" s="102" t="s">
        <v>389</v>
      </c>
      <c r="C23" s="80"/>
      <c r="D23" s="115"/>
      <c r="E23" s="100"/>
      <c r="F23" s="101"/>
      <c r="G23" s="93" t="str">
        <f>IF(AND('Part 1_Supplier Info'!$C$38="N/A", 'Part 1_Supplier Info'!$C$44="N/A"), "Shade", IF(C23&lt;&gt;"", "Done", "Add"))</f>
        <v>Add</v>
      </c>
    </row>
    <row r="24" spans="1:7">
      <c r="A24" s="105"/>
      <c r="B24" s="117"/>
      <c r="C24" s="115"/>
      <c r="D24" s="115"/>
      <c r="E24" s="98"/>
      <c r="F24" s="98"/>
    </row>
    <row r="25" spans="1:7">
      <c r="A25" s="105"/>
      <c r="B25" s="117"/>
      <c r="C25" s="115"/>
      <c r="D25" s="115"/>
      <c r="E25" s="98"/>
      <c r="F25" s="98"/>
    </row>
    <row r="26" spans="1:7">
      <c r="A26" s="105"/>
      <c r="B26" s="117"/>
      <c r="C26" s="115"/>
      <c r="D26" s="115"/>
      <c r="E26" s="98"/>
      <c r="F26" s="98"/>
    </row>
    <row r="27" spans="1:7">
      <c r="A27" s="120"/>
      <c r="B27" s="117"/>
      <c r="C27" s="117"/>
      <c r="D27" s="117"/>
      <c r="E27" s="98"/>
      <c r="F27" s="98"/>
    </row>
    <row r="28" spans="1:7">
      <c r="A28" s="120"/>
      <c r="B28" s="121"/>
      <c r="C28" s="117"/>
      <c r="D28" s="117"/>
      <c r="E28" s="98"/>
      <c r="F28" s="98"/>
    </row>
    <row r="29" spans="1:7">
      <c r="B29" s="98"/>
    </row>
  </sheetData>
  <sheetProtection algorithmName="SHA-512" hashValue="cx/5SG8HnWygGbkPinjXOELUKBlakXq2L7sC95vsxEMldQp7L2FvsTowwYSReFXeZDj2v05Np69nveop0hkSmA==" saltValue="Ua4Il+hh4Qhv0YQcJhu/sw==" spinCount="100000" sheet="1" formatRows="0"/>
  <protectedRanges>
    <protectedRange sqref="C10:C14 C19:C23" name="Responses"/>
  </protectedRanges>
  <mergeCells count="2">
    <mergeCell ref="B16:C16"/>
    <mergeCell ref="B9:C9"/>
  </mergeCells>
  <conditionalFormatting sqref="C10:C14">
    <cfRule type="expression" dxfId="241" priority="34">
      <formula>INDIRECT("G"&amp;ROW())="Shade"</formula>
    </cfRule>
    <cfRule type="expression" dxfId="240" priority="35">
      <formula>INDIRECT("G"&amp;ROW())="Done"</formula>
    </cfRule>
    <cfRule type="expression" dxfId="239" priority="36">
      <formula>INDIRECT("G"&amp;ROW())="Add"</formula>
    </cfRule>
  </conditionalFormatting>
  <conditionalFormatting sqref="C19:C23">
    <cfRule type="expression" dxfId="238" priority="1">
      <formula>INDIRECT("G"&amp;ROW())="Shade"</formula>
    </cfRule>
    <cfRule type="expression" dxfId="237" priority="2">
      <formula>INDIRECT("G"&amp;ROW())="Done"</formula>
    </cfRule>
    <cfRule type="expression" dxfId="236" priority="3">
      <formula>INDIRECT("G"&amp;ROW())="Add"</formula>
    </cfRule>
  </conditionalFormatting>
  <dataValidations disablePrompts="1" count="2">
    <dataValidation type="list" allowBlank="1" showInputMessage="1" showErrorMessage="1" sqref="C24" xr:uid="{00000000-0002-0000-0E00-000000000000}">
      <formula1>"Enclosed"</formula1>
    </dataValidation>
    <dataValidation type="list" allowBlank="1" showInputMessage="1" showErrorMessage="1" sqref="C25:C26 C21:C23 C10:C15" xr:uid="{00000000-0002-0000-0E00-000001000000}">
      <formula1>"Yes, No"</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C181"/>
  <sheetViews>
    <sheetView showGridLines="0" zoomScaleNormal="100" workbookViewId="0"/>
  </sheetViews>
  <sheetFormatPr baseColWidth="10" defaultColWidth="9" defaultRowHeight="13"/>
  <cols>
    <col min="1" max="1" width="9.5" style="108" customWidth="1"/>
    <col min="2" max="2" width="60.83203125" style="18" customWidth="1"/>
    <col min="3" max="3" width="10.6640625" style="42" customWidth="1"/>
    <col min="4" max="4" width="8.5" style="40" hidden="1" customWidth="1"/>
    <col min="5" max="5" width="11.33203125" style="30" hidden="1" customWidth="1"/>
    <col min="6" max="6" width="12.1640625" style="30" hidden="1" customWidth="1"/>
    <col min="7" max="11" width="22.1640625" style="40" hidden="1" customWidth="1"/>
    <col min="12" max="12" width="9.83203125" style="40" hidden="1" customWidth="1"/>
    <col min="13" max="18" width="22.1640625" style="40" hidden="1" customWidth="1"/>
    <col min="19" max="20" width="22.1640625" style="29" hidden="1" customWidth="1"/>
    <col min="21" max="29" width="9" style="29"/>
    <col min="30" max="16384" width="9" style="30"/>
  </cols>
  <sheetData>
    <row r="1" spans="1:29" s="441"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C1" s="452"/>
      <c r="D1" s="56"/>
      <c r="G1" s="464" t="str">
        <f>IF(COUNTIF(D:D, "Add")&gt;0, "Incomplete", "Complete")</f>
        <v>Incomplete</v>
      </c>
      <c r="H1" s="56" t="str">
        <f t="array" ref="H1">INDEX(TBL_003_DocMerge[Supplier_Type], MATCH(1, (Doc_Lot=TBL_003_DocMerge[Lot])*(Job_No=TBL_003_DocMerge[Job_No]),0))</f>
        <v>Candidate</v>
      </c>
      <c r="I1" s="56"/>
      <c r="J1" s="56"/>
      <c r="K1" s="56"/>
      <c r="L1" s="56"/>
      <c r="M1" s="56"/>
      <c r="N1" s="56"/>
      <c r="O1" s="56"/>
      <c r="P1" s="56"/>
      <c r="Q1" s="56"/>
      <c r="R1" s="56"/>
      <c r="S1" s="447"/>
      <c r="T1" s="447"/>
      <c r="U1" s="447"/>
      <c r="V1" s="447"/>
      <c r="W1" s="447"/>
      <c r="X1" s="447"/>
      <c r="Y1" s="447"/>
      <c r="Z1" s="447"/>
      <c r="AA1" s="447"/>
      <c r="AB1" s="447"/>
      <c r="AC1" s="447"/>
    </row>
    <row r="2" spans="1:29" s="441"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C2" s="452"/>
      <c r="D2" s="56"/>
      <c r="G2" s="465"/>
      <c r="H2" s="56"/>
      <c r="I2" s="56"/>
      <c r="J2" s="56"/>
      <c r="K2" s="56"/>
      <c r="L2" s="56"/>
      <c r="M2" s="56"/>
      <c r="N2" s="56"/>
      <c r="O2" s="56"/>
      <c r="P2" s="56"/>
      <c r="Q2" s="56"/>
      <c r="R2" s="56"/>
      <c r="S2" s="447"/>
      <c r="T2" s="447"/>
      <c r="U2" s="447"/>
      <c r="V2" s="447"/>
      <c r="W2" s="447"/>
      <c r="X2" s="447"/>
      <c r="Y2" s="447"/>
      <c r="Z2" s="447"/>
      <c r="AA2" s="447"/>
      <c r="AB2" s="447"/>
      <c r="AC2" s="447"/>
    </row>
    <row r="3" spans="1:29" s="441" customFormat="1" ht="12.5" customHeight="1">
      <c r="A3" s="449"/>
      <c r="B3" s="278"/>
      <c r="C3" s="452"/>
      <c r="D3" s="56"/>
      <c r="G3" s="56"/>
      <c r="H3" s="56"/>
      <c r="I3" s="56"/>
      <c r="J3" s="56"/>
      <c r="K3" s="56"/>
      <c r="L3" s="56"/>
      <c r="M3" s="56"/>
      <c r="N3" s="56"/>
      <c r="O3" s="56"/>
      <c r="P3" s="56"/>
      <c r="Q3" s="56"/>
      <c r="R3" s="56"/>
      <c r="S3" s="447"/>
      <c r="T3" s="447"/>
      <c r="U3" s="447"/>
      <c r="V3" s="447"/>
      <c r="W3" s="447"/>
      <c r="X3" s="447"/>
      <c r="Y3" s="447"/>
      <c r="Z3" s="447"/>
      <c r="AA3" s="447"/>
      <c r="AB3" s="447"/>
      <c r="AC3" s="447"/>
    </row>
    <row r="4" spans="1:29" s="271" customFormat="1" ht="18">
      <c r="A4" s="273" t="s">
        <v>208</v>
      </c>
      <c r="B4" s="273" t="str">
        <f>IF($H$4="No", IF('Project Info'!$B$17="PAS", CONCATENATE($I$6, " (Relates to", SUBSTITUTE(G4, "for ", ""), ")"), $I$6), IF('Project Info'!$B$17="SQ", "Selection Questions", CONCATENATE("Supplementary/additional questions", IF('Project Info'!$B$17="PAS", $G$4," "))))</f>
        <v>Selection Questions</v>
      </c>
      <c r="C4" s="275"/>
      <c r="D4" s="272"/>
      <c r="G4" s="271" t="str">
        <f>IF(Lotted?="Yes", IF(Doc_Lot="All", IF(SQ_Same_Qs?="Yes"," for all Lots", CONCATENATE(" for ", SUBSTITUTE("Lot_1", "_", " "))), CONCATENATE(" for ",SUBSTITUTE(Doc_Lot, "_", " "))), "")</f>
        <v xml:space="preserve"> for all Lots</v>
      </c>
      <c r="H4" s="271" t="str">
        <f>IF(Lotted?="Yes", IF(Doc_Lot="All", IF(SQ_Same_Qs?="Yes", "Yes", IF(Lot_1="No", "No", "Yes")), "Yes"), "Yes")</f>
        <v>Yes</v>
      </c>
    </row>
    <row r="5" spans="1:29" s="1" customFormat="1" ht="14">
      <c r="A5" s="113"/>
      <c r="B5" s="113"/>
      <c r="C5" s="263"/>
      <c r="D5" s="49"/>
      <c r="G5" s="49"/>
      <c r="H5" s="49"/>
      <c r="I5" s="49"/>
      <c r="J5" s="49"/>
      <c r="K5" s="49"/>
      <c r="L5" s="49"/>
      <c r="M5" s="49"/>
      <c r="N5" s="49"/>
      <c r="O5" s="49"/>
      <c r="P5" s="49"/>
      <c r="Q5" s="49"/>
      <c r="R5" s="49"/>
      <c r="S5" s="19"/>
      <c r="T5" s="19"/>
      <c r="U5" s="19"/>
      <c r="V5" s="19"/>
      <c r="W5" s="19"/>
      <c r="X5" s="19"/>
      <c r="Y5" s="19"/>
      <c r="Z5" s="19"/>
      <c r="AA5" s="19"/>
      <c r="AB5" s="19"/>
      <c r="AC5" s="19"/>
    </row>
    <row r="6" spans="1:29" s="1" customFormat="1" ht="14">
      <c r="A6" s="353" t="str">
        <f>IF('Project Info'!$B$17="PAS", "Q6", "Section 6")</f>
        <v>Section 6</v>
      </c>
      <c r="B6" s="563" t="str">
        <f>IF($H$4="No", IF('Project Info'!$B$17="PAS", $I$6, CONCATENATE($I$6, " (Relates to", SUBSTITUTE(G4, "for ", ""), ")")), IF('Project Info'!$B$17="PAS", $G$6, CONCATENATE($H$6, $G$4)))</f>
        <v>Technical and Profession Ability - Project Specific Questions for all Lots</v>
      </c>
      <c r="C6" s="563"/>
      <c r="G6" s="49" t="s">
        <v>1185</v>
      </c>
      <c r="H6" s="49" t="s">
        <v>1186</v>
      </c>
      <c r="I6" s="49" t="s">
        <v>472</v>
      </c>
      <c r="J6" s="49"/>
      <c r="K6" s="49"/>
      <c r="L6" s="49"/>
      <c r="M6" s="49"/>
      <c r="N6" s="49"/>
      <c r="O6" s="49"/>
      <c r="P6" s="49"/>
      <c r="Q6" s="49"/>
      <c r="R6" s="49"/>
      <c r="S6" s="19"/>
      <c r="T6" s="19"/>
      <c r="U6" s="19"/>
      <c r="V6" s="19"/>
      <c r="W6" s="19"/>
      <c r="X6" s="19"/>
      <c r="Y6" s="19"/>
      <c r="Z6" s="19"/>
      <c r="AA6" s="19"/>
      <c r="AB6" s="19"/>
      <c r="AC6" s="19"/>
    </row>
    <row r="7" spans="1:29">
      <c r="C7" s="34"/>
      <c r="D7" s="30"/>
    </row>
    <row r="8" spans="1:29" ht="43.5" customHeight="1">
      <c r="A8" s="559" t="str">
        <f>CONCATENATE($H$1, G8, $H$1, H8, 'Project Info'!$B$14, I8)</f>
        <v>Candidates must answer all questions in this Section. The responses will be assessed to ascertain the Candidate’s / Group's level of technical experience, competence, capacity and expertise in relation to the services for which it is applying.</v>
      </c>
      <c r="B8" s="559"/>
      <c r="C8" s="559"/>
      <c r="D8" s="30"/>
      <c r="G8" s="351" t="s">
        <v>1187</v>
      </c>
      <c r="H8" s="351" t="s">
        <v>1188</v>
      </c>
      <c r="I8" s="351" t="s">
        <v>1189</v>
      </c>
    </row>
    <row r="9" spans="1:29">
      <c r="A9" s="109"/>
      <c r="B9" s="421"/>
      <c r="C9" s="34"/>
      <c r="D9" s="30"/>
      <c r="G9" s="466"/>
    </row>
    <row r="10" spans="1:29" ht="65" customHeight="1">
      <c r="A10" s="559" t="str">
        <f>CONCATENATE(G10, $H$1, H10, $H$1, I10)</f>
        <v>When responding to the questions set out below, the Candidate / Group must ensure that a full and accurate description of experience is provided in a clear and meaningful manner.  The Candidate / Group in this regard must further demonstrate they have the ability, skills, experience, properly qualified and trained personnel at all levels, support systems and other resources including equipment to fulfil the high standards of quality and delivery required by the Contracting Authority.</v>
      </c>
      <c r="B10" s="559"/>
      <c r="C10" s="559"/>
      <c r="D10" s="30"/>
      <c r="G10" s="351" t="s">
        <v>1190</v>
      </c>
      <c r="H10" s="40" t="s">
        <v>1191</v>
      </c>
      <c r="I10" s="351" t="s">
        <v>1192</v>
      </c>
    </row>
    <row r="11" spans="1:29">
      <c r="A11" s="339"/>
      <c r="B11" s="422"/>
      <c r="C11" s="279"/>
      <c r="D11" s="30"/>
    </row>
    <row r="12" spans="1:29" ht="41.25" customHeight="1">
      <c r="A12" s="564" t="str">
        <f>CONCATENATE(G12, $H$1, H12)</f>
        <v>The Candidate / Group hereby confirms that the Contracting Authority may contact the Clients / Employers stated below for the subject case studies contracts in order to obtain a reference for the purpose of validating the answer to this question only.</v>
      </c>
      <c r="B12" s="566"/>
      <c r="C12" s="566"/>
      <c r="D12" s="30"/>
      <c r="G12" s="351" t="s">
        <v>1193</v>
      </c>
      <c r="H12" s="351" t="s">
        <v>1194</v>
      </c>
    </row>
    <row r="13" spans="1:29">
      <c r="A13" s="339"/>
      <c r="B13" s="199"/>
      <c r="C13" s="279"/>
      <c r="D13" s="30"/>
    </row>
    <row r="14" spans="1:29" ht="29" customHeight="1">
      <c r="A14" s="564" t="s">
        <v>1273</v>
      </c>
      <c r="B14" s="564"/>
      <c r="C14" s="564"/>
      <c r="D14" s="30"/>
    </row>
    <row r="15" spans="1:29">
      <c r="A15" s="528"/>
      <c r="B15" s="199"/>
      <c r="C15" s="279"/>
      <c r="D15" s="30"/>
    </row>
    <row r="16" spans="1:29" ht="64.5" customHeight="1">
      <c r="A16" s="564" t="s">
        <v>1271</v>
      </c>
      <c r="B16" s="566"/>
      <c r="C16" s="566"/>
      <c r="D16" s="30"/>
      <c r="G16" s="351"/>
    </row>
    <row r="17" spans="1:20">
      <c r="A17" s="199"/>
      <c r="B17" s="422"/>
      <c r="C17" s="279"/>
      <c r="D17" s="30"/>
    </row>
    <row r="18" spans="1:20" ht="14">
      <c r="A18" s="564" t="s">
        <v>1272</v>
      </c>
      <c r="B18" s="565"/>
      <c r="C18" s="565"/>
      <c r="D18" s="30"/>
      <c r="G18" s="351"/>
      <c r="H18" s="351"/>
      <c r="I18" s="439"/>
      <c r="J18" s="351"/>
      <c r="K18" s="218"/>
      <c r="L18" s="30"/>
      <c r="M18" s="218"/>
      <c r="N18" s="218"/>
      <c r="O18" s="467"/>
    </row>
    <row r="19" spans="1:20">
      <c r="A19" s="109"/>
      <c r="B19" s="421"/>
      <c r="C19" s="264"/>
      <c r="D19" s="30"/>
      <c r="G19" s="351"/>
      <c r="H19" s="351"/>
      <c r="I19" s="351"/>
      <c r="J19" s="351"/>
      <c r="L19" s="30"/>
    </row>
    <row r="20" spans="1:20" ht="14">
      <c r="A20" s="236" t="s">
        <v>925</v>
      </c>
      <c r="B20" s="193" t="s">
        <v>209</v>
      </c>
      <c r="C20" s="306" t="s">
        <v>19</v>
      </c>
      <c r="D20" s="306" t="s">
        <v>969</v>
      </c>
      <c r="E20" s="306" t="s">
        <v>777</v>
      </c>
      <c r="F20" s="306" t="s">
        <v>782</v>
      </c>
      <c r="G20" s="468" t="s">
        <v>799</v>
      </c>
      <c r="H20" s="468" t="s">
        <v>800</v>
      </c>
      <c r="I20" s="468" t="s">
        <v>801</v>
      </c>
      <c r="J20" s="468" t="s">
        <v>970</v>
      </c>
      <c r="K20" s="468" t="s">
        <v>862</v>
      </c>
      <c r="L20" s="468" t="s">
        <v>971</v>
      </c>
      <c r="N20" s="40" t="s">
        <v>161</v>
      </c>
      <c r="O20" s="40" t="s">
        <v>797</v>
      </c>
      <c r="P20" s="40" t="s">
        <v>948</v>
      </c>
      <c r="Q20" s="40" t="s">
        <v>949</v>
      </c>
      <c r="R20" s="40" t="s">
        <v>950</v>
      </c>
      <c r="S20" s="40" t="s">
        <v>972</v>
      </c>
      <c r="T20" s="40" t="s">
        <v>1094</v>
      </c>
    </row>
    <row r="21" spans="1:20" ht="28">
      <c r="A21" s="219" t="s">
        <v>649</v>
      </c>
      <c r="B21" s="219" t="s">
        <v>1113</v>
      </c>
      <c r="C21" s="265"/>
      <c r="D21" s="297" t="str">
        <f>IF(TBL_SQ_Qs_Lot_1[[#This Row],[Type]]="Question", IF(OR(TBL_SQ_Qs_Lot_1[[#This Row],[Shade?]]="Shade", TBL_SQ_Qs_Lot_1[[#This Row],[Question]]="Question not used
"), "", IF(TBL_SQ_Qs_Lot_1[[#This Row],[Response]]&lt;&gt;"", "Done", "Add")), "")</f>
        <v>Add</v>
      </c>
      <c r="E21" s="406" t="s">
        <v>209</v>
      </c>
      <c r="F21" s="296" t="str">
        <f t="array" ref="F21">IF(TBL_SQ_Qs_Lot_1[[#This Row],[Type]]="Details", INDEX(TBL_008_Qs_Lot_1[Word limit], MATCH(1, (TBL_SQ_Qs_Lot_1[[#This Row],[Q. No.]]=TBL_008_Qs_Lot_1[Q.])*("Question"=TBL_008_Qs_Lot_1[Type]),0)), "")</f>
        <v/>
      </c>
      <c r="G21" s="296" t="str">
        <f t="array" ref="G21">IF(TBL_SQ_Qs_Lot_1[[#This Row],[Type]]="Details", INDEX(TBL_008_Qs_Lot_1[Max score], MATCH(1, (TBL_SQ_Qs_Lot_1[[#This Row],[Q. No.]]=TBL_008_Qs_Lot_1[Q.])*("Question"=TBL_008_Qs_Lot_1[Type]),0)), "")</f>
        <v/>
      </c>
      <c r="H21" s="296" t="str">
        <f t="array" ref="H21">IF(TBL_SQ_Qs_Lot_1[[#This Row],[Type]]="Details", INDEX(TBL_008_Qs_Lot_1[No.subs], MATCH(1, (TBL_SQ_Qs_Lot_1[[#This Row],[Q. No.]]=TBL_008_Qs_Lot_1[Q.])*("Question"=TBL_008_Qs_Lot_1[Type]),0)), "")</f>
        <v/>
      </c>
      <c r="I21" s="296" t="str">
        <f t="array" ref="I21">IF(TBL_SQ_Qs_Lot_1[[#This Row],[Type]]="Details", IF(INDEX(TBL_008_Qs_Lot_1[App_pages], MATCH(1, (TBL_SQ_Qs_Lot_1[[#This Row],[Q. No.]]=TBL_008_Qs_Lot_1[Q.])*("Question"=TBL_008_Qs_Lot_1[Type]),0))&lt;&gt;"", INDEX(TBL_008_Qs_Lot_1[App_pages], MATCH(1, (TBL_SQ_Qs_Lot_1[[#This Row],[Q. No.]]=TBL_008_Qs_Lot_1[Q.])*("Question"=TBL_008_Qs_Lot_1[Type]),0)), ""), "")</f>
        <v/>
      </c>
      <c r="J21" s="296" t="str">
        <f t="array" ref="J21">IF(TBL_SQ_Qs_Lot_1[[#This Row],[Type]]="Details", IF(INDEX(TBL_008_Qs_Lot_1[App_sub-qs], MATCH(1, (TBL_SQ_Qs_Lot_1[[#This Row],[Q. No.]]=TBL_008_Qs_Lot_1[Q.])*("Question"=TBL_008_Qs_Lot_1[Type]),0))&lt;&gt;"", INDEX(TBL_008_Qs_Lot_1[App_sub-qs], MATCH(1, (TBL_SQ_Qs_Lot_1[[#This Row],[Q. No.]]=TBL_008_Qs_Lot_1[Q.])*("Question"=TBL_008_Qs_Lot_1[Type]),0)), ""), "")</f>
        <v/>
      </c>
      <c r="K21" s="296" t="str">
        <f t="array" ref="K21">IF(TBL_SQ_Qs_Lot_1[[#This Row],[Type]]="Details", INDEX(TBL_008_Qs_Lot_1[Weighting], MATCH(1, (TBL_SQ_Qs_Lot_1[[#This Row],[Q. No.]]=TBL_008_Qs_Lot_1[Q.])*("Question"=TBL_008_Qs_Lot_1[Type]),0)), "")</f>
        <v/>
      </c>
      <c r="L21" s="296" t="str">
        <f>IF($H$4="No", "Shade", IF(OR(TBL_SQ_Qs_Lot_1[[#This Row],[Question]]="Not used
", AND(TBL_SQ_Qs_Lot_1[[#This Row],[Type]]="Details", TBL_SQ_Qs_Lot_1[[#This Row],[Subs]]=0)), "Shade", ""))</f>
        <v/>
      </c>
    </row>
    <row r="22" spans="1:20" ht="291.5" customHeight="1">
      <c r="A22" s="239"/>
      <c r="B22" s="84" t="str">
        <f t="array" ref="B22">IF(OR(TBL_003_DocMerge[PAS_or_SQ?]="PAS", TBL_003_DocMerge[PAS_or_SQ?]="SA"), INDEX(TBL_008_Qs_Lot_1[Question / Sub-question], MATCH(1, ("Q6.1"=TBL_008_Qs_Lot_1[Q.])*("Question"=TBL_008_Qs_Lot_1[Type]),0)), $N$22)</f>
        <v>Please provide details of up to three contracts,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Q6.3</v>
      </c>
      <c r="C22" s="299"/>
      <c r="D22" s="297" t="str">
        <f>IF(TBL_SQ_Qs_Lot_1[[#This Row],[Type]]="Question", IF(OR(TBL_SQ_Qs_Lot_1[[#This Row],[Shade?]]="Shade", TBL_SQ_Qs_Lot_1[[#This Row],[Question]]="Question not used
"), "", IF(TBL_SQ_Qs_Lot_1[[#This Row],[Response]]&lt;&gt;"", "Done", "Add")), "")</f>
        <v/>
      </c>
      <c r="E22" s="408" t="s">
        <v>779</v>
      </c>
      <c r="F22" s="364" t="str">
        <f t="array" ref="F22">IF(TBL_SQ_Qs_Lot_1[[#This Row],[Type]]="Details", INDEX(TBL_008_Qs_Lot_1[Word limit], MATCH(1, (TBL_SQ_Qs_Lot_1[[#This Row],[Q. No.]]=TBL_008_Qs_Lot_1[Q.])*("Question"=TBL_008_Qs_Lot_1[Type]),0)), "")</f>
        <v/>
      </c>
      <c r="G22" s="364" t="str">
        <f t="array" ref="G22">IF(TBL_SQ_Qs_Lot_1[[#This Row],[Type]]="Details", INDEX(TBL_008_Qs_Lot_1[Max score], MATCH(1, (TBL_SQ_Qs_Lot_1[[#This Row],[Q. No.]]=TBL_008_Qs_Lot_1[Q.])*("Question"=TBL_008_Qs_Lot_1[Type]),0)), "")</f>
        <v/>
      </c>
      <c r="H22" s="364" t="str">
        <f t="array" ref="H22">IF(TBL_SQ_Qs_Lot_1[[#This Row],[Type]]="Details", INDEX(TBL_008_Qs_Lot_1[No.subs], MATCH(1, (TBL_SQ_Qs_Lot_1[[#This Row],[Q. No.]]=TBL_008_Qs_Lot_1[Q.])*("Question"=TBL_008_Qs_Lot_1[Type]),0)), "")</f>
        <v/>
      </c>
      <c r="I22" s="296" t="str">
        <f t="array" ref="I22">IF(TBL_SQ_Qs_Lot_1[[#This Row],[Type]]="Details", IF(INDEX(TBL_008_Qs_Lot_1[App_pages], MATCH(1, (TBL_SQ_Qs_Lot_1[[#This Row],[Q. No.]]=TBL_008_Qs_Lot_1[Q.])*("Question"=TBL_008_Qs_Lot_1[Type]),0))&lt;&gt;"", INDEX(TBL_008_Qs_Lot_1[App_pages], MATCH(1, (TBL_SQ_Qs_Lot_1[[#This Row],[Q. No.]]=TBL_008_Qs_Lot_1[Q.])*("Question"=TBL_008_Qs_Lot_1[Type]),0)), ""), "")</f>
        <v/>
      </c>
      <c r="J22" s="296" t="str">
        <f t="array" ref="J22">IF(TBL_SQ_Qs_Lot_1[[#This Row],[Type]]="Details", IF(INDEX(TBL_008_Qs_Lot_1[App_sub-qs], MATCH(1, (TBL_SQ_Qs_Lot_1[[#This Row],[Q. No.]]=TBL_008_Qs_Lot_1[Q.])*("Question"=TBL_008_Qs_Lot_1[Type]),0))&lt;&gt;"", INDEX(TBL_008_Qs_Lot_1[App_sub-qs], MATCH(1, (TBL_SQ_Qs_Lot_1[[#This Row],[Q. No.]]=TBL_008_Qs_Lot_1[Q.])*("Question"=TBL_008_Qs_Lot_1[Type]),0)), ""), "")</f>
        <v/>
      </c>
      <c r="K22" s="364" t="str">
        <f t="array" ref="K22">IF(TBL_SQ_Qs_Lot_1[[#This Row],[Type]]="Details", INDEX(TBL_008_Qs_Lot_1[Weighting], MATCH(1, (TBL_SQ_Qs_Lot_1[[#This Row],[Q. No.]]=TBL_008_Qs_Lot_1[Q.])*("Question"=TBL_008_Qs_Lot_1[Type]),0)), "")</f>
        <v/>
      </c>
      <c r="L22" s="296" t="str">
        <f>IF($H$4="No", "Shade", IF(OR(TBL_SQ_Qs_Lot_1[[#This Row],[Question]]="Not used
", AND(TBL_SQ_Qs_Lot_1[[#This Row],[Type]]="Details", TBL_SQ_Qs_Lot_1[[#This Row],[Subs]]=0)), "Shade", ""))</f>
        <v/>
      </c>
      <c r="N22" s="351" t="s">
        <v>1112</v>
      </c>
    </row>
    <row r="23" spans="1:20" ht="42">
      <c r="A23" s="305" t="s">
        <v>649</v>
      </c>
      <c r="B23" s="220" t="str">
        <f t="array" ref="B2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 $P$20, ".
"))</f>
        <v xml:space="preserve">The response to Q6.1 should have a word count of not more than 1500 words.
</v>
      </c>
      <c r="C23" s="299"/>
      <c r="D23" s="297" t="str">
        <f>IF(TBL_SQ_Qs_Lot_1[[#This Row],[Type]]="Question", IF(OR(TBL_SQ_Qs_Lot_1[[#This Row],[Shade?]]="Shade", TBL_SQ_Qs_Lot_1[[#This Row],[Question]]="Question not used
"), "", IF(TBL_SQ_Qs_Lot_1[[#This Row],[Response]]&lt;&gt;"", "Done", "Add")), "")</f>
        <v/>
      </c>
      <c r="E23" s="407" t="s">
        <v>798</v>
      </c>
      <c r="F23" s="296">
        <f t="array" ref="F23">IF(TBL_SQ_Qs_Lot_1[[#This Row],[Type]]="Details", INDEX(TBL_008_Qs_Lot_1[Word limit], MATCH(1, (TBL_SQ_Qs_Lot_1[[#This Row],[Q. No.]]=TBL_008_Qs_Lot_1[Q.])*("Question"=TBL_008_Qs_Lot_1[Type]),0)), "")</f>
        <v>1500</v>
      </c>
      <c r="G23" s="296">
        <f t="array" ref="G23">IF(TBL_SQ_Qs_Lot_1[[#This Row],[Type]]="Details", INDEX(TBL_008_Qs_Lot_1[Max score], MATCH(1, (TBL_SQ_Qs_Lot_1[[#This Row],[Q. No.]]=TBL_008_Qs_Lot_1[Q.])*("Question"=TBL_008_Qs_Lot_1[Type]),0)), "")</f>
        <v>15</v>
      </c>
      <c r="H23" s="296">
        <f t="array" ref="H23">IF(TBL_SQ_Qs_Lot_1[[#This Row],[Type]]="Details", INDEX(TBL_008_Qs_Lot_1[No.subs], MATCH(1, (TBL_SQ_Qs_Lot_1[[#This Row],[Q. No.]]=TBL_008_Qs_Lot_1[Q.])*("Question"=TBL_008_Qs_Lot_1[Type]),0)), "")</f>
        <v>3</v>
      </c>
      <c r="I23" s="296" t="str">
        <f t="array" ref="I23">IF(TBL_SQ_Qs_Lot_1[[#This Row],[Type]]="Details", IF(INDEX(TBL_008_Qs_Lot_1[App_pages], MATCH(1, (TBL_SQ_Qs_Lot_1[[#This Row],[Q. No.]]=TBL_008_Qs_Lot_1[Q.])*("Question"=TBL_008_Qs_Lot_1[Type]),0))&lt;&gt;"", INDEX(TBL_008_Qs_Lot_1[App_pages], MATCH(1, (TBL_SQ_Qs_Lot_1[[#This Row],[Q. No.]]=TBL_008_Qs_Lot_1[Q.])*("Question"=TBL_008_Qs_Lot_1[Type]),0)), ""), "")</f>
        <v/>
      </c>
      <c r="J23" s="296" t="str">
        <f t="array" ref="J23">IF(TBL_SQ_Qs_Lot_1[[#This Row],[Type]]="Details", IF(INDEX(TBL_008_Qs_Lot_1[App_sub-qs], MATCH(1, (TBL_SQ_Qs_Lot_1[[#This Row],[Q. No.]]=TBL_008_Qs_Lot_1[Q.])*("Question"=TBL_008_Qs_Lot_1[Type]),0))&lt;&gt;"", INDEX(TBL_008_Qs_Lot_1[App_sub-qs], MATCH(1, (TBL_SQ_Qs_Lot_1[[#This Row],[Q. No.]]=TBL_008_Qs_Lot_1[Q.])*("Question"=TBL_008_Qs_Lot_1[Type]),0)), ""), "")</f>
        <v/>
      </c>
      <c r="K23" s="296" t="str">
        <f t="array" ref="K23">IF(TBL_SQ_Qs_Lot_1[[#This Row],[Type]]="Details", INDEX(TBL_008_Qs_Lot_1[Weighting], MATCH(1, (TBL_SQ_Qs_Lot_1[[#This Row],[Q. No.]]=TBL_008_Qs_Lot_1[Q.])*("Question"=TBL_008_Qs_Lot_1[Type]),0)), "")</f>
        <v>N/A</v>
      </c>
      <c r="L23" s="296" t="str">
        <f>IF($H$4="No", "Shade", IF(OR(TBL_SQ_Qs_Lot_1[[#This Row],[Question]]="Not used
", AND(TBL_SQ_Qs_Lot_1[[#This Row],[Type]]="Details", TBL_SQ_Qs_Lot_1[[#This Row],[Subs]]=0)), "Shade", ""))</f>
        <v/>
      </c>
    </row>
    <row r="24" spans="1:20" ht="14">
      <c r="A24" s="84" t="s">
        <v>650</v>
      </c>
      <c r="B24" s="220" t="s">
        <v>802</v>
      </c>
      <c r="C24" s="234"/>
      <c r="D24" s="297" t="str">
        <f>IF(TBL_SQ_Qs_Lot_1[[#This Row],[Type]]="Question", IF(OR(TBL_SQ_Qs_Lot_1[[#This Row],[Shade?]]="Shade", TBL_SQ_Qs_Lot_1[[#This Row],[Question]]="Question not used
"), "", IF(TBL_SQ_Qs_Lot_1[[#This Row],[Response]]&lt;&gt;"", "Done", "Add")), "")</f>
        <v/>
      </c>
      <c r="E24" s="406" t="s">
        <v>779</v>
      </c>
      <c r="F24" s="296" t="str">
        <f t="array" ref="F24">IF(TBL_SQ_Qs_Lot_1[[#This Row],[Type]]="Details", INDEX(TBL_008_Qs_Lot_1[Word limit], MATCH(1, (TBL_SQ_Qs_Lot_1[[#This Row],[Q. No.]]=TBL_008_Qs_Lot_1[Q.])*("Question"=TBL_008_Qs_Lot_1[Type]),0)), "")</f>
        <v/>
      </c>
      <c r="G24" s="296" t="str">
        <f t="array" ref="G24">IF(TBL_SQ_Qs_Lot_1[[#This Row],[Type]]="Details", INDEX(TBL_008_Qs_Lot_1[Max score], MATCH(1, (TBL_SQ_Qs_Lot_1[[#This Row],[Q. No.]]=TBL_008_Qs_Lot_1[Q.])*("Question"=TBL_008_Qs_Lot_1[Type]),0)), "")</f>
        <v/>
      </c>
      <c r="H24" s="296" t="str">
        <f t="array" ref="H24">IF(TBL_SQ_Qs_Lot_1[[#This Row],[Type]]="Details", INDEX(TBL_008_Qs_Lot_1[No.subs], MATCH(1, (TBL_SQ_Qs_Lot_1[[#This Row],[Q. No.]]=TBL_008_Qs_Lot_1[Q.])*("Question"=TBL_008_Qs_Lot_1[Type]),0)), "")</f>
        <v/>
      </c>
      <c r="I24" s="296" t="str">
        <f t="array" ref="I24">IF(TBL_SQ_Qs_Lot_1[[#This Row],[Type]]="Details", IF(INDEX(TBL_008_Qs_Lot_1[App_pages], MATCH(1, (TBL_SQ_Qs_Lot_1[[#This Row],[Q. No.]]=TBL_008_Qs_Lot_1[Q.])*("Question"=TBL_008_Qs_Lot_1[Type]),0))&lt;&gt;"", INDEX(TBL_008_Qs_Lot_1[App_pages], MATCH(1, (TBL_SQ_Qs_Lot_1[[#This Row],[Q. No.]]=TBL_008_Qs_Lot_1[Q.])*("Question"=TBL_008_Qs_Lot_1[Type]),0)), ""), "")</f>
        <v/>
      </c>
      <c r="J24" s="296" t="str">
        <f t="array" ref="J24">IF(TBL_SQ_Qs_Lot_1[[#This Row],[Type]]="Details", IF(INDEX(TBL_008_Qs_Lot_1[App_sub-qs], MATCH(1, (TBL_SQ_Qs_Lot_1[[#This Row],[Q. No.]]=TBL_008_Qs_Lot_1[Q.])*("Question"=TBL_008_Qs_Lot_1[Type]),0))&lt;&gt;"", INDEX(TBL_008_Qs_Lot_1[App_sub-qs], MATCH(1, (TBL_SQ_Qs_Lot_1[[#This Row],[Q. No.]]=TBL_008_Qs_Lot_1[Q.])*("Question"=TBL_008_Qs_Lot_1[Type]),0)), ""), "")</f>
        <v/>
      </c>
      <c r="K24" s="296" t="str">
        <f t="array" ref="K24">IF(TBL_SQ_Qs_Lot_1[[#This Row],[Type]]="Details", INDEX(TBL_008_Qs_Lot_1[Weighting], MATCH(1, (TBL_SQ_Qs_Lot_1[[#This Row],[Q. No.]]=TBL_008_Qs_Lot_1[Q.])*("Question"=TBL_008_Qs_Lot_1[Type]),0)), "")</f>
        <v/>
      </c>
      <c r="L24" s="296" t="str">
        <f>IF($H$4="No", "Shade", IF(OR(TBL_SQ_Qs_Lot_1[[#This Row],[Question]]="Not used
", AND(TBL_SQ_Qs_Lot_1[[#This Row],[Type]]="Details", TBL_SQ_Qs_Lot_1[[#This Row],[Subs]]=0)), "Shade", ""))</f>
        <v/>
      </c>
    </row>
    <row r="25" spans="1:20" ht="126">
      <c r="A25" s="84"/>
      <c r="B25" s="84" t="s">
        <v>803</v>
      </c>
      <c r="C25" s="299"/>
      <c r="D25" s="297" t="str">
        <f>IF(TBL_SQ_Qs_Lot_1[[#This Row],[Type]]="Question", IF(OR(TBL_SQ_Qs_Lot_1[[#This Row],[Shade?]]="Shade", TBL_SQ_Qs_Lot_1[[#This Row],[Question]]="Question not used
"), "", IF(TBL_SQ_Qs_Lot_1[[#This Row],[Response]]&lt;&gt;"", "Done", "Add")), "")</f>
        <v/>
      </c>
      <c r="E25" s="406" t="s">
        <v>779</v>
      </c>
      <c r="F25" s="296" t="str">
        <f t="array" ref="F25">IF(TBL_SQ_Qs_Lot_1[[#This Row],[Type]]="Details", INDEX(TBL_008_Qs_Lot_1[Word limit], MATCH(1, (TBL_SQ_Qs_Lot_1[[#This Row],[Q. No.]]=TBL_008_Qs_Lot_1[Q.])*("Question"=TBL_008_Qs_Lot_1[Type]),0)), "")</f>
        <v/>
      </c>
      <c r="G25" s="296" t="str">
        <f t="array" ref="G25">IF(TBL_SQ_Qs_Lot_1[[#This Row],[Type]]="Details", INDEX(TBL_008_Qs_Lot_1[Max score], MATCH(1, (TBL_SQ_Qs_Lot_1[[#This Row],[Q. No.]]=TBL_008_Qs_Lot_1[Q.])*("Question"=TBL_008_Qs_Lot_1[Type]),0)), "")</f>
        <v/>
      </c>
      <c r="H25" s="296" t="str">
        <f t="array" ref="H25">IF(TBL_SQ_Qs_Lot_1[[#This Row],[Type]]="Details", INDEX(TBL_008_Qs_Lot_1[No.subs], MATCH(1, (TBL_SQ_Qs_Lot_1[[#This Row],[Q. No.]]=TBL_008_Qs_Lot_1[Q.])*("Question"=TBL_008_Qs_Lot_1[Type]),0)), "")</f>
        <v/>
      </c>
      <c r="I25" s="296" t="str">
        <f t="array" ref="I25">IF(TBL_SQ_Qs_Lot_1[[#This Row],[Type]]="Details", IF(INDEX(TBL_008_Qs_Lot_1[App_pages], MATCH(1, (TBL_SQ_Qs_Lot_1[[#This Row],[Q. No.]]=TBL_008_Qs_Lot_1[Q.])*("Question"=TBL_008_Qs_Lot_1[Type]),0))&lt;&gt;"", INDEX(TBL_008_Qs_Lot_1[App_pages], MATCH(1, (TBL_SQ_Qs_Lot_1[[#This Row],[Q. No.]]=TBL_008_Qs_Lot_1[Q.])*("Question"=TBL_008_Qs_Lot_1[Type]),0)), ""), "")</f>
        <v/>
      </c>
      <c r="J25" s="296" t="str">
        <f t="array" ref="J25">IF(TBL_SQ_Qs_Lot_1[[#This Row],[Type]]="Details", IF(INDEX(TBL_008_Qs_Lot_1[App_sub-qs], MATCH(1, (TBL_SQ_Qs_Lot_1[[#This Row],[Q. No.]]=TBL_008_Qs_Lot_1[Q.])*("Question"=TBL_008_Qs_Lot_1[Type]),0))&lt;&gt;"", INDEX(TBL_008_Qs_Lot_1[App_sub-qs], MATCH(1, (TBL_SQ_Qs_Lot_1[[#This Row],[Q. No.]]=TBL_008_Qs_Lot_1[Q.])*("Question"=TBL_008_Qs_Lot_1[Type]),0)), ""), "")</f>
        <v/>
      </c>
      <c r="K25" s="296" t="str">
        <f t="array" ref="K25">IF(TBL_SQ_Qs_Lot_1[[#This Row],[Type]]="Details", INDEX(TBL_008_Qs_Lot_1[Weighting], MATCH(1, (TBL_SQ_Qs_Lot_1[[#This Row],[Q. No.]]=TBL_008_Qs_Lot_1[Q.])*("Question"=TBL_008_Qs_Lot_1[Type]),0)), "")</f>
        <v/>
      </c>
      <c r="L25" s="296" t="str">
        <f>IF($H$4="No", "Shade", IF(OR(TBL_SQ_Qs_Lot_1[[#This Row],[Question]]="Not used
", AND(TBL_SQ_Qs_Lot_1[[#This Row],[Type]]="Details", TBL_SQ_Qs_Lot_1[[#This Row],[Subs]]=0)), "Shade", ""))</f>
        <v/>
      </c>
    </row>
    <row r="26" spans="1:20" ht="14">
      <c r="A26" s="84" t="s">
        <v>651</v>
      </c>
      <c r="B26" s="220" t="s">
        <v>804</v>
      </c>
      <c r="C26" s="234"/>
      <c r="D26" s="297" t="str">
        <f>IF(TBL_SQ_Qs_Lot_1[[#This Row],[Type]]="Question", IF(OR(TBL_SQ_Qs_Lot_1[[#This Row],[Shade?]]="Shade", TBL_SQ_Qs_Lot_1[[#This Row],[Question]]="Question not used
"), "", IF(TBL_SQ_Qs_Lot_1[[#This Row],[Response]]&lt;&gt;"", "Done", "Add")), "")</f>
        <v/>
      </c>
      <c r="E26" s="406" t="s">
        <v>779</v>
      </c>
      <c r="F26" s="296" t="str">
        <f t="array" ref="F26">IF(TBL_SQ_Qs_Lot_1[[#This Row],[Type]]="Details", INDEX(TBL_008_Qs_Lot_1[Word limit], MATCH(1, (TBL_SQ_Qs_Lot_1[[#This Row],[Q. No.]]=TBL_008_Qs_Lot_1[Q.])*("Question"=TBL_008_Qs_Lot_1[Type]),0)), "")</f>
        <v/>
      </c>
      <c r="G26" s="296" t="str">
        <f t="array" ref="G26">IF(TBL_SQ_Qs_Lot_1[[#This Row],[Type]]="Details", INDEX(TBL_008_Qs_Lot_1[Max score], MATCH(1, (TBL_SQ_Qs_Lot_1[[#This Row],[Q. No.]]=TBL_008_Qs_Lot_1[Q.])*("Question"=TBL_008_Qs_Lot_1[Type]),0)), "")</f>
        <v/>
      </c>
      <c r="H26" s="296" t="str">
        <f t="array" ref="H26">IF(TBL_SQ_Qs_Lot_1[[#This Row],[Type]]="Details", INDEX(TBL_008_Qs_Lot_1[No.subs], MATCH(1, (TBL_SQ_Qs_Lot_1[[#This Row],[Q. No.]]=TBL_008_Qs_Lot_1[Q.])*("Question"=TBL_008_Qs_Lot_1[Type]),0)), "")</f>
        <v/>
      </c>
      <c r="I26" s="296" t="str">
        <f t="array" ref="I26">IF(TBL_SQ_Qs_Lot_1[[#This Row],[Type]]="Details", IF(INDEX(TBL_008_Qs_Lot_1[App_pages], MATCH(1, (TBL_SQ_Qs_Lot_1[[#This Row],[Q. No.]]=TBL_008_Qs_Lot_1[Q.])*("Question"=TBL_008_Qs_Lot_1[Type]),0))&lt;&gt;"", INDEX(TBL_008_Qs_Lot_1[App_pages], MATCH(1, (TBL_SQ_Qs_Lot_1[[#This Row],[Q. No.]]=TBL_008_Qs_Lot_1[Q.])*("Question"=TBL_008_Qs_Lot_1[Type]),0)), ""), "")</f>
        <v/>
      </c>
      <c r="J26" s="296" t="str">
        <f t="array" ref="J26">IF(TBL_SQ_Qs_Lot_1[[#This Row],[Type]]="Details", IF(INDEX(TBL_008_Qs_Lot_1[App_sub-qs], MATCH(1, (TBL_SQ_Qs_Lot_1[[#This Row],[Q. No.]]=TBL_008_Qs_Lot_1[Q.])*("Question"=TBL_008_Qs_Lot_1[Type]),0))&lt;&gt;"", INDEX(TBL_008_Qs_Lot_1[App_sub-qs], MATCH(1, (TBL_SQ_Qs_Lot_1[[#This Row],[Q. No.]]=TBL_008_Qs_Lot_1[Q.])*("Question"=TBL_008_Qs_Lot_1[Type]),0)), ""), "")</f>
        <v/>
      </c>
      <c r="K26" s="296" t="str">
        <f t="array" ref="K26">IF(TBL_SQ_Qs_Lot_1[[#This Row],[Type]]="Details", INDEX(TBL_008_Qs_Lot_1[Weighting], MATCH(1, (TBL_SQ_Qs_Lot_1[[#This Row],[Q. No.]]=TBL_008_Qs_Lot_1[Q.])*("Question"=TBL_008_Qs_Lot_1[Type]),0)), "")</f>
        <v/>
      </c>
      <c r="L26" s="296" t="str">
        <f>IF($H$4="No", "Shade", IF(OR(TBL_SQ_Qs_Lot_1[[#This Row],[Question]]="Not used
", AND(TBL_SQ_Qs_Lot_1[[#This Row],[Type]]="Details", TBL_SQ_Qs_Lot_1[[#This Row],[Subs]]=0)), "Shade", ""))</f>
        <v/>
      </c>
    </row>
    <row r="27" spans="1:20" ht="126">
      <c r="A27" s="84"/>
      <c r="B27" s="84" t="s">
        <v>803</v>
      </c>
      <c r="C27" s="299"/>
      <c r="D27" s="297" t="str">
        <f>IF(TBL_SQ_Qs_Lot_1[[#This Row],[Type]]="Question", IF(OR(TBL_SQ_Qs_Lot_1[[#This Row],[Shade?]]="Shade", TBL_SQ_Qs_Lot_1[[#This Row],[Question]]="Question not used
"), "", IF(TBL_SQ_Qs_Lot_1[[#This Row],[Response]]&lt;&gt;"", "Done", "Add")), "")</f>
        <v/>
      </c>
      <c r="E27" s="406" t="s">
        <v>779</v>
      </c>
      <c r="F27" s="296" t="str">
        <f t="array" ref="F27">IF(TBL_SQ_Qs_Lot_1[[#This Row],[Type]]="Details", INDEX(TBL_008_Qs_Lot_1[Word limit], MATCH(1, (TBL_SQ_Qs_Lot_1[[#This Row],[Q. No.]]=TBL_008_Qs_Lot_1[Q.])*("Question"=TBL_008_Qs_Lot_1[Type]),0)), "")</f>
        <v/>
      </c>
      <c r="G27" s="296" t="str">
        <f t="array" ref="G27">IF(TBL_SQ_Qs_Lot_1[[#This Row],[Type]]="Details", INDEX(TBL_008_Qs_Lot_1[Max score], MATCH(1, (TBL_SQ_Qs_Lot_1[[#This Row],[Q. No.]]=TBL_008_Qs_Lot_1[Q.])*("Question"=TBL_008_Qs_Lot_1[Type]),0)), "")</f>
        <v/>
      </c>
      <c r="H27" s="296" t="str">
        <f t="array" ref="H27">IF(TBL_SQ_Qs_Lot_1[[#This Row],[Type]]="Details", INDEX(TBL_008_Qs_Lot_1[No.subs], MATCH(1, (TBL_SQ_Qs_Lot_1[[#This Row],[Q. No.]]=TBL_008_Qs_Lot_1[Q.])*("Question"=TBL_008_Qs_Lot_1[Type]),0)), "")</f>
        <v/>
      </c>
      <c r="I27" s="296" t="str">
        <f t="array" ref="I27">IF(TBL_SQ_Qs_Lot_1[[#This Row],[Type]]="Details", IF(INDEX(TBL_008_Qs_Lot_1[App_pages], MATCH(1, (TBL_SQ_Qs_Lot_1[[#This Row],[Q. No.]]=TBL_008_Qs_Lot_1[Q.])*("Question"=TBL_008_Qs_Lot_1[Type]),0))&lt;&gt;"", INDEX(TBL_008_Qs_Lot_1[App_pages], MATCH(1, (TBL_SQ_Qs_Lot_1[[#This Row],[Q. No.]]=TBL_008_Qs_Lot_1[Q.])*("Question"=TBL_008_Qs_Lot_1[Type]),0)), ""), "")</f>
        <v/>
      </c>
      <c r="J27" s="296" t="str">
        <f t="array" ref="J27">IF(TBL_SQ_Qs_Lot_1[[#This Row],[Type]]="Details", IF(INDEX(TBL_008_Qs_Lot_1[App_sub-qs], MATCH(1, (TBL_SQ_Qs_Lot_1[[#This Row],[Q. No.]]=TBL_008_Qs_Lot_1[Q.])*("Question"=TBL_008_Qs_Lot_1[Type]),0))&lt;&gt;"", INDEX(TBL_008_Qs_Lot_1[App_sub-qs], MATCH(1, (TBL_SQ_Qs_Lot_1[[#This Row],[Q. No.]]=TBL_008_Qs_Lot_1[Q.])*("Question"=TBL_008_Qs_Lot_1[Type]),0)), ""), "")</f>
        <v/>
      </c>
      <c r="K27" s="296" t="str">
        <f t="array" ref="K27">IF(TBL_SQ_Qs_Lot_1[[#This Row],[Type]]="Details", INDEX(TBL_008_Qs_Lot_1[Weighting], MATCH(1, (TBL_SQ_Qs_Lot_1[[#This Row],[Q. No.]]=TBL_008_Qs_Lot_1[Q.])*("Question"=TBL_008_Qs_Lot_1[Type]),0)), "")</f>
        <v/>
      </c>
      <c r="L27" s="296" t="str">
        <f>IF($H$4="No", "Shade", IF(OR(TBL_SQ_Qs_Lot_1[[#This Row],[Question]]="Not used
", AND(TBL_SQ_Qs_Lot_1[[#This Row],[Type]]="Details", TBL_SQ_Qs_Lot_1[[#This Row],[Subs]]=0)), "Shade", ""))</f>
        <v/>
      </c>
    </row>
    <row r="28" spans="1:20" ht="14">
      <c r="A28" s="84" t="s">
        <v>652</v>
      </c>
      <c r="B28" s="220" t="s">
        <v>805</v>
      </c>
      <c r="C28" s="234"/>
      <c r="D28" s="297" t="str">
        <f>IF(TBL_SQ_Qs_Lot_1[[#This Row],[Type]]="Question", IF(OR(TBL_SQ_Qs_Lot_1[[#This Row],[Shade?]]="Shade", TBL_SQ_Qs_Lot_1[[#This Row],[Question]]="Question not used
"), "", IF(TBL_SQ_Qs_Lot_1[[#This Row],[Response]]&lt;&gt;"", "Done", "Add")), "")</f>
        <v/>
      </c>
      <c r="E28" s="406" t="s">
        <v>779</v>
      </c>
      <c r="F28" s="296" t="str">
        <f t="array" ref="F28">IF(TBL_SQ_Qs_Lot_1[[#This Row],[Type]]="Details", INDEX(TBL_008_Qs_Lot_1[Word limit], MATCH(1, (TBL_SQ_Qs_Lot_1[[#This Row],[Q. No.]]=TBL_008_Qs_Lot_1[Q.])*("Question"=TBL_008_Qs_Lot_1[Type]),0)), "")</f>
        <v/>
      </c>
      <c r="G28" s="296" t="str">
        <f t="array" ref="G28">IF(TBL_SQ_Qs_Lot_1[[#This Row],[Type]]="Details", INDEX(TBL_008_Qs_Lot_1[Max score], MATCH(1, (TBL_SQ_Qs_Lot_1[[#This Row],[Q. No.]]=TBL_008_Qs_Lot_1[Q.])*("Question"=TBL_008_Qs_Lot_1[Type]),0)), "")</f>
        <v/>
      </c>
      <c r="H28" s="296" t="str">
        <f t="array" ref="H28">IF(TBL_SQ_Qs_Lot_1[[#This Row],[Type]]="Details", INDEX(TBL_008_Qs_Lot_1[No.subs], MATCH(1, (TBL_SQ_Qs_Lot_1[[#This Row],[Q. No.]]=TBL_008_Qs_Lot_1[Q.])*("Question"=TBL_008_Qs_Lot_1[Type]),0)), "")</f>
        <v/>
      </c>
      <c r="I28" s="296" t="str">
        <f t="array" ref="I28">IF(TBL_SQ_Qs_Lot_1[[#This Row],[Type]]="Details", IF(INDEX(TBL_008_Qs_Lot_1[App_pages], MATCH(1, (TBL_SQ_Qs_Lot_1[[#This Row],[Q. No.]]=TBL_008_Qs_Lot_1[Q.])*("Question"=TBL_008_Qs_Lot_1[Type]),0))&lt;&gt;"", INDEX(TBL_008_Qs_Lot_1[App_pages], MATCH(1, (TBL_SQ_Qs_Lot_1[[#This Row],[Q. No.]]=TBL_008_Qs_Lot_1[Q.])*("Question"=TBL_008_Qs_Lot_1[Type]),0)), ""), "")</f>
        <v/>
      </c>
      <c r="J28" s="296" t="str">
        <f t="array" ref="J28">IF(TBL_SQ_Qs_Lot_1[[#This Row],[Type]]="Details", IF(INDEX(TBL_008_Qs_Lot_1[App_sub-qs], MATCH(1, (TBL_SQ_Qs_Lot_1[[#This Row],[Q. No.]]=TBL_008_Qs_Lot_1[Q.])*("Question"=TBL_008_Qs_Lot_1[Type]),0))&lt;&gt;"", INDEX(TBL_008_Qs_Lot_1[App_sub-qs], MATCH(1, (TBL_SQ_Qs_Lot_1[[#This Row],[Q. No.]]=TBL_008_Qs_Lot_1[Q.])*("Question"=TBL_008_Qs_Lot_1[Type]),0)), ""), "")</f>
        <v/>
      </c>
      <c r="K28" s="296" t="str">
        <f t="array" ref="K28">IF(TBL_SQ_Qs_Lot_1[[#This Row],[Type]]="Details", INDEX(TBL_008_Qs_Lot_1[Weighting], MATCH(1, (TBL_SQ_Qs_Lot_1[[#This Row],[Q. No.]]=TBL_008_Qs_Lot_1[Q.])*("Question"=TBL_008_Qs_Lot_1[Type]),0)), "")</f>
        <v/>
      </c>
      <c r="L28" s="296" t="str">
        <f>IF($H$4="No", "Shade", IF(OR(TBL_SQ_Qs_Lot_1[[#This Row],[Question]]="Not used
", AND(TBL_SQ_Qs_Lot_1[[#This Row],[Type]]="Details", TBL_SQ_Qs_Lot_1[[#This Row],[Subs]]=0)), "Shade", ""))</f>
        <v/>
      </c>
    </row>
    <row r="29" spans="1:20" ht="126">
      <c r="A29" s="84"/>
      <c r="B29" s="84" t="s">
        <v>803</v>
      </c>
      <c r="C29" s="299"/>
      <c r="D29" s="297" t="str">
        <f>IF(TBL_SQ_Qs_Lot_1[[#This Row],[Type]]="Question", IF(OR(TBL_SQ_Qs_Lot_1[[#This Row],[Shade?]]="Shade", TBL_SQ_Qs_Lot_1[[#This Row],[Question]]="Question not used
"), "", IF(TBL_SQ_Qs_Lot_1[[#This Row],[Response]]&lt;&gt;"", "Done", "Add")), "")</f>
        <v/>
      </c>
      <c r="E29" s="406" t="s">
        <v>779</v>
      </c>
      <c r="F29" s="296" t="str">
        <f t="array" ref="F29">IF(TBL_SQ_Qs_Lot_1[[#This Row],[Type]]="Details", INDEX(TBL_008_Qs_Lot_1[Word limit], MATCH(1, (TBL_SQ_Qs_Lot_1[[#This Row],[Q. No.]]=TBL_008_Qs_Lot_1[Q.])*("Question"=TBL_008_Qs_Lot_1[Type]),0)), "")</f>
        <v/>
      </c>
      <c r="G29" s="296" t="str">
        <f t="array" ref="G29">IF(TBL_SQ_Qs_Lot_1[[#This Row],[Type]]="Details", INDEX(TBL_008_Qs_Lot_1[Max score], MATCH(1, (TBL_SQ_Qs_Lot_1[[#This Row],[Q. No.]]=TBL_008_Qs_Lot_1[Q.])*("Question"=TBL_008_Qs_Lot_1[Type]),0)), "")</f>
        <v/>
      </c>
      <c r="H29" s="296" t="str">
        <f t="array" ref="H29">IF(TBL_SQ_Qs_Lot_1[[#This Row],[Type]]="Details", INDEX(TBL_008_Qs_Lot_1[No.subs], MATCH(1, (TBL_SQ_Qs_Lot_1[[#This Row],[Q. No.]]=TBL_008_Qs_Lot_1[Q.])*("Question"=TBL_008_Qs_Lot_1[Type]),0)), "")</f>
        <v/>
      </c>
      <c r="I29" s="296" t="str">
        <f t="array" ref="I29">IF(TBL_SQ_Qs_Lot_1[[#This Row],[Type]]="Details", IF(INDEX(TBL_008_Qs_Lot_1[App_pages], MATCH(1, (TBL_SQ_Qs_Lot_1[[#This Row],[Q. No.]]=TBL_008_Qs_Lot_1[Q.])*("Question"=TBL_008_Qs_Lot_1[Type]),0))&lt;&gt;"", INDEX(TBL_008_Qs_Lot_1[App_pages], MATCH(1, (TBL_SQ_Qs_Lot_1[[#This Row],[Q. No.]]=TBL_008_Qs_Lot_1[Q.])*("Question"=TBL_008_Qs_Lot_1[Type]),0)), ""), "")</f>
        <v/>
      </c>
      <c r="J29" s="296" t="str">
        <f t="array" ref="J29">IF(TBL_SQ_Qs_Lot_1[[#This Row],[Type]]="Details", IF(INDEX(TBL_008_Qs_Lot_1[App_sub-qs], MATCH(1, (TBL_SQ_Qs_Lot_1[[#This Row],[Q. No.]]=TBL_008_Qs_Lot_1[Q.])*("Question"=TBL_008_Qs_Lot_1[Type]),0))&lt;&gt;"", INDEX(TBL_008_Qs_Lot_1[App_sub-qs], MATCH(1, (TBL_SQ_Qs_Lot_1[[#This Row],[Q. No.]]=TBL_008_Qs_Lot_1[Q.])*("Question"=TBL_008_Qs_Lot_1[Type]),0)), ""), "")</f>
        <v/>
      </c>
      <c r="K29" s="296" t="str">
        <f t="array" ref="K29">IF(TBL_SQ_Qs_Lot_1[[#This Row],[Type]]="Details", INDEX(TBL_008_Qs_Lot_1[Weighting], MATCH(1, (TBL_SQ_Qs_Lot_1[[#This Row],[Q. No.]]=TBL_008_Qs_Lot_1[Q.])*("Question"=TBL_008_Qs_Lot_1[Type]),0)), "")</f>
        <v/>
      </c>
      <c r="L29" s="296" t="str">
        <f>IF($H$4="No", "Shade", IF(OR(TBL_SQ_Qs_Lot_1[[#This Row],[Question]]="Not used
", AND(TBL_SQ_Qs_Lot_1[[#This Row],[Type]]="Details", TBL_SQ_Qs_Lot_1[[#This Row],[Subs]]=0)), "Shade", ""))</f>
        <v/>
      </c>
    </row>
    <row r="30" spans="1:20" ht="28" hidden="1">
      <c r="A30" s="239" t="s">
        <v>1141</v>
      </c>
      <c r="B30" s="84" t="str">
        <f t="array" ref="B3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0" s="234"/>
      <c r="D30" s="297" t="str">
        <f>IF(TBL_SQ_Qs_Lot_1[[#This Row],[Type]]="Question", IF(OR(TBL_SQ_Qs_Lot_1[[#This Row],[Shade?]]="Shade", TBL_SQ_Qs_Lot_1[[#This Row],[Question]]="Question not used
"), "", IF(TBL_SQ_Qs_Lot_1[[#This Row],[Response]]&lt;&gt;"", "Done", "Add")), "")</f>
        <v/>
      </c>
      <c r="E30" s="408" t="s">
        <v>779</v>
      </c>
      <c r="F30" s="364" t="str">
        <f t="array" ref="F30">IF(TBL_SQ_Qs_Lot_1[[#This Row],[Type]]="Details", INDEX(TBL_008_Qs_Lot_1[Word limit], MATCH(1, (TBL_SQ_Qs_Lot_1[[#This Row],[Q. No.]]=TBL_008_Qs_Lot_1[Q.])*("Question"=TBL_008_Qs_Lot_1[Type]),0)), "")</f>
        <v/>
      </c>
      <c r="G30" s="364" t="str">
        <f t="array" ref="G30">IF(TBL_SQ_Qs_Lot_1[[#This Row],[Type]]="Details", INDEX(TBL_008_Qs_Lot_1[Max score], MATCH(1, (TBL_SQ_Qs_Lot_1[[#This Row],[Q. No.]]=TBL_008_Qs_Lot_1[Q.])*("Question"=TBL_008_Qs_Lot_1[Type]),0)), "")</f>
        <v/>
      </c>
      <c r="H30" s="364" t="str">
        <f t="array" ref="H30">IF(TBL_SQ_Qs_Lot_1[[#This Row],[Type]]="Details", INDEX(TBL_008_Qs_Lot_1[No.subs], MATCH(1, (TBL_SQ_Qs_Lot_1[[#This Row],[Q. No.]]=TBL_008_Qs_Lot_1[Q.])*("Question"=TBL_008_Qs_Lot_1[Type]),0)), "")</f>
        <v/>
      </c>
      <c r="I30" s="296" t="str">
        <f t="array" ref="I30">IF(TBL_SQ_Qs_Lot_1[[#This Row],[Type]]="Details", IF(INDEX(TBL_008_Qs_Lot_1[App_pages], MATCH(1, (TBL_SQ_Qs_Lot_1[[#This Row],[Q. No.]]=TBL_008_Qs_Lot_1[Q.])*("Question"=TBL_008_Qs_Lot_1[Type]),0))&lt;&gt;"", INDEX(TBL_008_Qs_Lot_1[App_pages], MATCH(1, (TBL_SQ_Qs_Lot_1[[#This Row],[Q. No.]]=TBL_008_Qs_Lot_1[Q.])*("Question"=TBL_008_Qs_Lot_1[Type]),0)), ""), "")</f>
        <v/>
      </c>
      <c r="J30" s="296" t="str">
        <f t="array" ref="J30">IF(TBL_SQ_Qs_Lot_1[[#This Row],[Type]]="Details", IF(INDEX(TBL_008_Qs_Lot_1[App_sub-qs], MATCH(1, (TBL_SQ_Qs_Lot_1[[#This Row],[Q. No.]]=TBL_008_Qs_Lot_1[Q.])*("Question"=TBL_008_Qs_Lot_1[Type]),0))&lt;&gt;"", INDEX(TBL_008_Qs_Lot_1[App_sub-qs], MATCH(1, (TBL_SQ_Qs_Lot_1[[#This Row],[Q. No.]]=TBL_008_Qs_Lot_1[Q.])*("Question"=TBL_008_Qs_Lot_1[Type]),0)), ""), "")</f>
        <v/>
      </c>
      <c r="K30" s="364" t="str">
        <f t="array" ref="K30">IF(TBL_SQ_Qs_Lot_1[[#This Row],[Type]]="Details", INDEX(TBL_008_Qs_Lot_1[Weighting], MATCH(1, (TBL_SQ_Qs_Lot_1[[#This Row],[Q. No.]]=TBL_008_Qs_Lot_1[Q.])*("Question"=TBL_008_Qs_Lot_1[Type]),0)), "")</f>
        <v/>
      </c>
      <c r="L30" s="296" t="str">
        <f>IF($H$4="No", "Shade", IF(OR(TBL_SQ_Qs_Lot_1[[#This Row],[Question]]="Not used
", AND(TBL_SQ_Qs_Lot_1[[#This Row],[Type]]="Details", TBL_SQ_Qs_Lot_1[[#This Row],[Subs]]=0)), "Shade", ""))</f>
        <v>Shade</v>
      </c>
    </row>
    <row r="31" spans="1:20" ht="28" hidden="1">
      <c r="A31" s="239" t="s">
        <v>1142</v>
      </c>
      <c r="B31" s="84" t="str">
        <f t="array" ref="B3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1" s="234"/>
      <c r="D31" s="297" t="str">
        <f>IF(TBL_SQ_Qs_Lot_1[[#This Row],[Type]]="Question", IF(OR(TBL_SQ_Qs_Lot_1[[#This Row],[Shade?]]="Shade", TBL_SQ_Qs_Lot_1[[#This Row],[Question]]="Question not used
"), "", IF(TBL_SQ_Qs_Lot_1[[#This Row],[Response]]&lt;&gt;"", "Done", "Add")), "")</f>
        <v/>
      </c>
      <c r="E31" s="408" t="s">
        <v>779</v>
      </c>
      <c r="F31" s="364" t="str">
        <f t="array" ref="F31">IF(TBL_SQ_Qs_Lot_1[[#This Row],[Type]]="Details", INDEX(TBL_008_Qs_Lot_1[Word limit], MATCH(1, (TBL_SQ_Qs_Lot_1[[#This Row],[Q. No.]]=TBL_008_Qs_Lot_1[Q.])*("Question"=TBL_008_Qs_Lot_1[Type]),0)), "")</f>
        <v/>
      </c>
      <c r="G31" s="364" t="str">
        <f t="array" ref="G31">IF(TBL_SQ_Qs_Lot_1[[#This Row],[Type]]="Details", INDEX(TBL_008_Qs_Lot_1[Max score], MATCH(1, (TBL_SQ_Qs_Lot_1[[#This Row],[Q. No.]]=TBL_008_Qs_Lot_1[Q.])*("Question"=TBL_008_Qs_Lot_1[Type]),0)), "")</f>
        <v/>
      </c>
      <c r="H31" s="364" t="str">
        <f t="array" ref="H31">IF(TBL_SQ_Qs_Lot_1[[#This Row],[Type]]="Details", INDEX(TBL_008_Qs_Lot_1[No.subs], MATCH(1, (TBL_SQ_Qs_Lot_1[[#This Row],[Q. No.]]=TBL_008_Qs_Lot_1[Q.])*("Question"=TBL_008_Qs_Lot_1[Type]),0)), "")</f>
        <v/>
      </c>
      <c r="I31" s="296" t="str">
        <f t="array" ref="I31">IF(TBL_SQ_Qs_Lot_1[[#This Row],[Type]]="Details", IF(INDEX(TBL_008_Qs_Lot_1[App_pages], MATCH(1, (TBL_SQ_Qs_Lot_1[[#This Row],[Q. No.]]=TBL_008_Qs_Lot_1[Q.])*("Question"=TBL_008_Qs_Lot_1[Type]),0))&lt;&gt;"", INDEX(TBL_008_Qs_Lot_1[App_pages], MATCH(1, (TBL_SQ_Qs_Lot_1[[#This Row],[Q. No.]]=TBL_008_Qs_Lot_1[Q.])*("Question"=TBL_008_Qs_Lot_1[Type]),0)), ""), "")</f>
        <v/>
      </c>
      <c r="J31" s="296" t="str">
        <f t="array" ref="J31">IF(TBL_SQ_Qs_Lot_1[[#This Row],[Type]]="Details", IF(INDEX(TBL_008_Qs_Lot_1[App_sub-qs], MATCH(1, (TBL_SQ_Qs_Lot_1[[#This Row],[Q. No.]]=TBL_008_Qs_Lot_1[Q.])*("Question"=TBL_008_Qs_Lot_1[Type]),0))&lt;&gt;"", INDEX(TBL_008_Qs_Lot_1[App_sub-qs], MATCH(1, (TBL_SQ_Qs_Lot_1[[#This Row],[Q. No.]]=TBL_008_Qs_Lot_1[Q.])*("Question"=TBL_008_Qs_Lot_1[Type]),0)), ""), "")</f>
        <v/>
      </c>
      <c r="K31" s="364" t="str">
        <f t="array" ref="K31">IF(TBL_SQ_Qs_Lot_1[[#This Row],[Type]]="Details", INDEX(TBL_008_Qs_Lot_1[Weighting], MATCH(1, (TBL_SQ_Qs_Lot_1[[#This Row],[Q. No.]]=TBL_008_Qs_Lot_1[Q.])*("Question"=TBL_008_Qs_Lot_1[Type]),0)), "")</f>
        <v/>
      </c>
      <c r="L31" s="296" t="str">
        <f>IF($H$4="No", "Shade", IF(OR(TBL_SQ_Qs_Lot_1[[#This Row],[Question]]="Not used
", AND(TBL_SQ_Qs_Lot_1[[#This Row],[Type]]="Details", TBL_SQ_Qs_Lot_1[[#This Row],[Subs]]=0)), "Shade", ""))</f>
        <v>Shade</v>
      </c>
    </row>
    <row r="32" spans="1:20" ht="28" hidden="1">
      <c r="A32" s="239" t="s">
        <v>1143</v>
      </c>
      <c r="B32" s="84" t="str">
        <f t="array" ref="B3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2" s="234"/>
      <c r="D32" s="297" t="str">
        <f>IF(TBL_SQ_Qs_Lot_1[[#This Row],[Type]]="Question", IF(OR(TBL_SQ_Qs_Lot_1[[#This Row],[Shade?]]="Shade", TBL_SQ_Qs_Lot_1[[#This Row],[Question]]="Question not used
"), "", IF(TBL_SQ_Qs_Lot_1[[#This Row],[Response]]&lt;&gt;"", "Done", "Add")), "")</f>
        <v/>
      </c>
      <c r="E32" s="408" t="s">
        <v>779</v>
      </c>
      <c r="F32" s="364" t="str">
        <f t="array" ref="F32">IF(TBL_SQ_Qs_Lot_1[[#This Row],[Type]]="Details", INDEX(TBL_008_Qs_Lot_1[Word limit], MATCH(1, (TBL_SQ_Qs_Lot_1[[#This Row],[Q. No.]]=TBL_008_Qs_Lot_1[Q.])*("Question"=TBL_008_Qs_Lot_1[Type]),0)), "")</f>
        <v/>
      </c>
      <c r="G32" s="364" t="str">
        <f t="array" ref="G32">IF(TBL_SQ_Qs_Lot_1[[#This Row],[Type]]="Details", INDEX(TBL_008_Qs_Lot_1[Max score], MATCH(1, (TBL_SQ_Qs_Lot_1[[#This Row],[Q. No.]]=TBL_008_Qs_Lot_1[Q.])*("Question"=TBL_008_Qs_Lot_1[Type]),0)), "")</f>
        <v/>
      </c>
      <c r="H32" s="364" t="str">
        <f t="array" ref="H32">IF(TBL_SQ_Qs_Lot_1[[#This Row],[Type]]="Details", INDEX(TBL_008_Qs_Lot_1[No.subs], MATCH(1, (TBL_SQ_Qs_Lot_1[[#This Row],[Q. No.]]=TBL_008_Qs_Lot_1[Q.])*("Question"=TBL_008_Qs_Lot_1[Type]),0)), "")</f>
        <v/>
      </c>
      <c r="I32" s="296" t="str">
        <f t="array" ref="I32">IF(TBL_SQ_Qs_Lot_1[[#This Row],[Type]]="Details", IF(INDEX(TBL_008_Qs_Lot_1[App_pages], MATCH(1, (TBL_SQ_Qs_Lot_1[[#This Row],[Q. No.]]=TBL_008_Qs_Lot_1[Q.])*("Question"=TBL_008_Qs_Lot_1[Type]),0))&lt;&gt;"", INDEX(TBL_008_Qs_Lot_1[App_pages], MATCH(1, (TBL_SQ_Qs_Lot_1[[#This Row],[Q. No.]]=TBL_008_Qs_Lot_1[Q.])*("Question"=TBL_008_Qs_Lot_1[Type]),0)), ""), "")</f>
        <v/>
      </c>
      <c r="J32" s="296" t="str">
        <f t="array" ref="J32">IF(TBL_SQ_Qs_Lot_1[[#This Row],[Type]]="Details", IF(INDEX(TBL_008_Qs_Lot_1[App_sub-qs], MATCH(1, (TBL_SQ_Qs_Lot_1[[#This Row],[Q. No.]]=TBL_008_Qs_Lot_1[Q.])*("Question"=TBL_008_Qs_Lot_1[Type]),0))&lt;&gt;"", INDEX(TBL_008_Qs_Lot_1[App_sub-qs], MATCH(1, (TBL_SQ_Qs_Lot_1[[#This Row],[Q. No.]]=TBL_008_Qs_Lot_1[Q.])*("Question"=TBL_008_Qs_Lot_1[Type]),0)), ""), "")</f>
        <v/>
      </c>
      <c r="K32" s="364" t="str">
        <f t="array" ref="K32">IF(TBL_SQ_Qs_Lot_1[[#This Row],[Type]]="Details", INDEX(TBL_008_Qs_Lot_1[Weighting], MATCH(1, (TBL_SQ_Qs_Lot_1[[#This Row],[Q. No.]]=TBL_008_Qs_Lot_1[Q.])*("Question"=TBL_008_Qs_Lot_1[Type]),0)), "")</f>
        <v/>
      </c>
      <c r="L32" s="296" t="str">
        <f>IF($H$4="No", "Shade", IF(OR(TBL_SQ_Qs_Lot_1[[#This Row],[Question]]="Not used
", AND(TBL_SQ_Qs_Lot_1[[#This Row],[Type]]="Details", TBL_SQ_Qs_Lot_1[[#This Row],[Subs]]=0)), "Shade", ""))</f>
        <v>Shade</v>
      </c>
    </row>
    <row r="33" spans="1:12" ht="28" hidden="1">
      <c r="A33" s="239" t="s">
        <v>1144</v>
      </c>
      <c r="B33" s="84" t="str">
        <f t="array" ref="B3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3" s="234"/>
      <c r="D33" s="297" t="str">
        <f>IF(TBL_SQ_Qs_Lot_1[[#This Row],[Type]]="Question", IF(OR(TBL_SQ_Qs_Lot_1[[#This Row],[Shade?]]="Shade", TBL_SQ_Qs_Lot_1[[#This Row],[Question]]="Question not used
"), "", IF(TBL_SQ_Qs_Lot_1[[#This Row],[Response]]&lt;&gt;"", "Done", "Add")), "")</f>
        <v/>
      </c>
      <c r="E33" s="408" t="s">
        <v>779</v>
      </c>
      <c r="F33" s="364" t="str">
        <f t="array" ref="F33">IF(TBL_SQ_Qs_Lot_1[[#This Row],[Type]]="Details", INDEX(TBL_008_Qs_Lot_1[Word limit], MATCH(1, (TBL_SQ_Qs_Lot_1[[#This Row],[Q. No.]]=TBL_008_Qs_Lot_1[Q.])*("Question"=TBL_008_Qs_Lot_1[Type]),0)), "")</f>
        <v/>
      </c>
      <c r="G33" s="364" t="str">
        <f t="array" ref="G33">IF(TBL_SQ_Qs_Lot_1[[#This Row],[Type]]="Details", INDEX(TBL_008_Qs_Lot_1[Max score], MATCH(1, (TBL_SQ_Qs_Lot_1[[#This Row],[Q. No.]]=TBL_008_Qs_Lot_1[Q.])*("Question"=TBL_008_Qs_Lot_1[Type]),0)), "")</f>
        <v/>
      </c>
      <c r="H33" s="364" t="str">
        <f t="array" ref="H33">IF(TBL_SQ_Qs_Lot_1[[#This Row],[Type]]="Details", INDEX(TBL_008_Qs_Lot_1[No.subs], MATCH(1, (TBL_SQ_Qs_Lot_1[[#This Row],[Q. No.]]=TBL_008_Qs_Lot_1[Q.])*("Question"=TBL_008_Qs_Lot_1[Type]),0)), "")</f>
        <v/>
      </c>
      <c r="I33" s="296" t="str">
        <f t="array" ref="I33">IF(TBL_SQ_Qs_Lot_1[[#This Row],[Type]]="Details", IF(INDEX(TBL_008_Qs_Lot_1[App_pages], MATCH(1, (TBL_SQ_Qs_Lot_1[[#This Row],[Q. No.]]=TBL_008_Qs_Lot_1[Q.])*("Question"=TBL_008_Qs_Lot_1[Type]),0))&lt;&gt;"", INDEX(TBL_008_Qs_Lot_1[App_pages], MATCH(1, (TBL_SQ_Qs_Lot_1[[#This Row],[Q. No.]]=TBL_008_Qs_Lot_1[Q.])*("Question"=TBL_008_Qs_Lot_1[Type]),0)), ""), "")</f>
        <v/>
      </c>
      <c r="J33" s="296" t="str">
        <f t="array" ref="J33">IF(TBL_SQ_Qs_Lot_1[[#This Row],[Type]]="Details", IF(INDEX(TBL_008_Qs_Lot_1[App_sub-qs], MATCH(1, (TBL_SQ_Qs_Lot_1[[#This Row],[Q. No.]]=TBL_008_Qs_Lot_1[Q.])*("Question"=TBL_008_Qs_Lot_1[Type]),0))&lt;&gt;"", INDEX(TBL_008_Qs_Lot_1[App_sub-qs], MATCH(1, (TBL_SQ_Qs_Lot_1[[#This Row],[Q. No.]]=TBL_008_Qs_Lot_1[Q.])*("Question"=TBL_008_Qs_Lot_1[Type]),0)), ""), "")</f>
        <v/>
      </c>
      <c r="K33" s="364" t="str">
        <f t="array" ref="K33">IF(TBL_SQ_Qs_Lot_1[[#This Row],[Type]]="Details", INDEX(TBL_008_Qs_Lot_1[Weighting], MATCH(1, (TBL_SQ_Qs_Lot_1[[#This Row],[Q. No.]]=TBL_008_Qs_Lot_1[Q.])*("Question"=TBL_008_Qs_Lot_1[Type]),0)), "")</f>
        <v/>
      </c>
      <c r="L33" s="296" t="str">
        <f>IF($H$4="No", "Shade", IF(OR(TBL_SQ_Qs_Lot_1[[#This Row],[Question]]="Not used
", AND(TBL_SQ_Qs_Lot_1[[#This Row],[Type]]="Details", TBL_SQ_Qs_Lot_1[[#This Row],[Subs]]=0)), "Shade", ""))</f>
        <v>Shade</v>
      </c>
    </row>
    <row r="34" spans="1:12" ht="28" hidden="1">
      <c r="A34" s="239" t="s">
        <v>1145</v>
      </c>
      <c r="B34" s="84" t="str">
        <f t="array" ref="B3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4" s="234"/>
      <c r="D34" s="297" t="str">
        <f>IF(TBL_SQ_Qs_Lot_1[[#This Row],[Type]]="Question", IF(OR(TBL_SQ_Qs_Lot_1[[#This Row],[Shade?]]="Shade", TBL_SQ_Qs_Lot_1[[#This Row],[Question]]="Question not used
"), "", IF(TBL_SQ_Qs_Lot_1[[#This Row],[Response]]&lt;&gt;"", "Done", "Add")), "")</f>
        <v/>
      </c>
      <c r="E34" s="408" t="s">
        <v>779</v>
      </c>
      <c r="F34" s="364" t="str">
        <f t="array" ref="F34">IF(TBL_SQ_Qs_Lot_1[[#This Row],[Type]]="Details", INDEX(TBL_008_Qs_Lot_1[Word limit], MATCH(1, (TBL_SQ_Qs_Lot_1[[#This Row],[Q. No.]]=TBL_008_Qs_Lot_1[Q.])*("Question"=TBL_008_Qs_Lot_1[Type]),0)), "")</f>
        <v/>
      </c>
      <c r="G34" s="364" t="str">
        <f t="array" ref="G34">IF(TBL_SQ_Qs_Lot_1[[#This Row],[Type]]="Details", INDEX(TBL_008_Qs_Lot_1[Max score], MATCH(1, (TBL_SQ_Qs_Lot_1[[#This Row],[Q. No.]]=TBL_008_Qs_Lot_1[Q.])*("Question"=TBL_008_Qs_Lot_1[Type]),0)), "")</f>
        <v/>
      </c>
      <c r="H34" s="364" t="str">
        <f t="array" ref="H34">IF(TBL_SQ_Qs_Lot_1[[#This Row],[Type]]="Details", INDEX(TBL_008_Qs_Lot_1[No.subs], MATCH(1, (TBL_SQ_Qs_Lot_1[[#This Row],[Q. No.]]=TBL_008_Qs_Lot_1[Q.])*("Question"=TBL_008_Qs_Lot_1[Type]),0)), "")</f>
        <v/>
      </c>
      <c r="I34" s="296" t="str">
        <f t="array" ref="I34">IF(TBL_SQ_Qs_Lot_1[[#This Row],[Type]]="Details", IF(INDEX(TBL_008_Qs_Lot_1[App_pages], MATCH(1, (TBL_SQ_Qs_Lot_1[[#This Row],[Q. No.]]=TBL_008_Qs_Lot_1[Q.])*("Question"=TBL_008_Qs_Lot_1[Type]),0))&lt;&gt;"", INDEX(TBL_008_Qs_Lot_1[App_pages], MATCH(1, (TBL_SQ_Qs_Lot_1[[#This Row],[Q. No.]]=TBL_008_Qs_Lot_1[Q.])*("Question"=TBL_008_Qs_Lot_1[Type]),0)), ""), "")</f>
        <v/>
      </c>
      <c r="J34" s="296" t="str">
        <f t="array" ref="J34">IF(TBL_SQ_Qs_Lot_1[[#This Row],[Type]]="Details", IF(INDEX(TBL_008_Qs_Lot_1[App_sub-qs], MATCH(1, (TBL_SQ_Qs_Lot_1[[#This Row],[Q. No.]]=TBL_008_Qs_Lot_1[Q.])*("Question"=TBL_008_Qs_Lot_1[Type]),0))&lt;&gt;"", INDEX(TBL_008_Qs_Lot_1[App_sub-qs], MATCH(1, (TBL_SQ_Qs_Lot_1[[#This Row],[Q. No.]]=TBL_008_Qs_Lot_1[Q.])*("Question"=TBL_008_Qs_Lot_1[Type]),0)), ""), "")</f>
        <v/>
      </c>
      <c r="K34" s="364" t="str">
        <f t="array" ref="K34">IF(TBL_SQ_Qs_Lot_1[[#This Row],[Type]]="Details", INDEX(TBL_008_Qs_Lot_1[Weighting], MATCH(1, (TBL_SQ_Qs_Lot_1[[#This Row],[Q. No.]]=TBL_008_Qs_Lot_1[Q.])*("Question"=TBL_008_Qs_Lot_1[Type]),0)), "")</f>
        <v/>
      </c>
      <c r="L34" s="296" t="str">
        <f>IF($H$4="No", "Shade", IF(OR(TBL_SQ_Qs_Lot_1[[#This Row],[Question]]="Not used
", AND(TBL_SQ_Qs_Lot_1[[#This Row],[Type]]="Details", TBL_SQ_Qs_Lot_1[[#This Row],[Subs]]=0)), "Shade", ""))</f>
        <v>Shade</v>
      </c>
    </row>
    <row r="35" spans="1:12" ht="28" hidden="1">
      <c r="A35" s="239" t="s">
        <v>1146</v>
      </c>
      <c r="B35" s="84" t="str">
        <f t="array" ref="B3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5" s="234"/>
      <c r="D35" s="297" t="str">
        <f>IF(TBL_SQ_Qs_Lot_1[[#This Row],[Type]]="Question", IF(OR(TBL_SQ_Qs_Lot_1[[#This Row],[Shade?]]="Shade", TBL_SQ_Qs_Lot_1[[#This Row],[Question]]="Question not used
"), "", IF(TBL_SQ_Qs_Lot_1[[#This Row],[Response]]&lt;&gt;"", "Done", "Add")), "")</f>
        <v/>
      </c>
      <c r="E35" s="408" t="s">
        <v>779</v>
      </c>
      <c r="F35" s="364" t="str">
        <f t="array" ref="F35">IF(TBL_SQ_Qs_Lot_1[[#This Row],[Type]]="Details", INDEX(TBL_008_Qs_Lot_1[Word limit], MATCH(1, (TBL_SQ_Qs_Lot_1[[#This Row],[Q. No.]]=TBL_008_Qs_Lot_1[Q.])*("Question"=TBL_008_Qs_Lot_1[Type]),0)), "")</f>
        <v/>
      </c>
      <c r="G35" s="364" t="str">
        <f t="array" ref="G35">IF(TBL_SQ_Qs_Lot_1[[#This Row],[Type]]="Details", INDEX(TBL_008_Qs_Lot_1[Max score], MATCH(1, (TBL_SQ_Qs_Lot_1[[#This Row],[Q. No.]]=TBL_008_Qs_Lot_1[Q.])*("Question"=TBL_008_Qs_Lot_1[Type]),0)), "")</f>
        <v/>
      </c>
      <c r="H35" s="364" t="str">
        <f t="array" ref="H35">IF(TBL_SQ_Qs_Lot_1[[#This Row],[Type]]="Details", INDEX(TBL_008_Qs_Lot_1[No.subs], MATCH(1, (TBL_SQ_Qs_Lot_1[[#This Row],[Q. No.]]=TBL_008_Qs_Lot_1[Q.])*("Question"=TBL_008_Qs_Lot_1[Type]),0)), "")</f>
        <v/>
      </c>
      <c r="I35" s="296" t="str">
        <f t="array" ref="I35">IF(TBL_SQ_Qs_Lot_1[[#This Row],[Type]]="Details", IF(INDEX(TBL_008_Qs_Lot_1[App_pages], MATCH(1, (TBL_SQ_Qs_Lot_1[[#This Row],[Q. No.]]=TBL_008_Qs_Lot_1[Q.])*("Question"=TBL_008_Qs_Lot_1[Type]),0))&lt;&gt;"", INDEX(TBL_008_Qs_Lot_1[App_pages], MATCH(1, (TBL_SQ_Qs_Lot_1[[#This Row],[Q. No.]]=TBL_008_Qs_Lot_1[Q.])*("Question"=TBL_008_Qs_Lot_1[Type]),0)), ""), "")</f>
        <v/>
      </c>
      <c r="J35" s="296" t="str">
        <f t="array" ref="J35">IF(TBL_SQ_Qs_Lot_1[[#This Row],[Type]]="Details", IF(INDEX(TBL_008_Qs_Lot_1[App_sub-qs], MATCH(1, (TBL_SQ_Qs_Lot_1[[#This Row],[Q. No.]]=TBL_008_Qs_Lot_1[Q.])*("Question"=TBL_008_Qs_Lot_1[Type]),0))&lt;&gt;"", INDEX(TBL_008_Qs_Lot_1[App_sub-qs], MATCH(1, (TBL_SQ_Qs_Lot_1[[#This Row],[Q. No.]]=TBL_008_Qs_Lot_1[Q.])*("Question"=TBL_008_Qs_Lot_1[Type]),0)), ""), "")</f>
        <v/>
      </c>
      <c r="K35" s="364" t="str">
        <f t="array" ref="K35">IF(TBL_SQ_Qs_Lot_1[[#This Row],[Type]]="Details", INDEX(TBL_008_Qs_Lot_1[Weighting], MATCH(1, (TBL_SQ_Qs_Lot_1[[#This Row],[Q. No.]]=TBL_008_Qs_Lot_1[Q.])*("Question"=TBL_008_Qs_Lot_1[Type]),0)), "")</f>
        <v/>
      </c>
      <c r="L35" s="296" t="str">
        <f>IF($H$4="No", "Shade", IF(OR(TBL_SQ_Qs_Lot_1[[#This Row],[Question]]="Not used
", AND(TBL_SQ_Qs_Lot_1[[#This Row],[Type]]="Details", TBL_SQ_Qs_Lot_1[[#This Row],[Subs]]=0)), "Shade", ""))</f>
        <v>Shade</v>
      </c>
    </row>
    <row r="36" spans="1:12" ht="28" hidden="1">
      <c r="A36" s="239" t="s">
        <v>1147</v>
      </c>
      <c r="B36" s="84" t="str">
        <f t="array" ref="B3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6" s="234"/>
      <c r="D36" s="297" t="str">
        <f>IF(TBL_SQ_Qs_Lot_1[[#This Row],[Type]]="Question", IF(OR(TBL_SQ_Qs_Lot_1[[#This Row],[Shade?]]="Shade", TBL_SQ_Qs_Lot_1[[#This Row],[Question]]="Question not used
"), "", IF(TBL_SQ_Qs_Lot_1[[#This Row],[Response]]&lt;&gt;"", "Done", "Add")), "")</f>
        <v/>
      </c>
      <c r="E36" s="408" t="s">
        <v>779</v>
      </c>
      <c r="F36" s="364" t="str">
        <f t="array" ref="F36">IF(TBL_SQ_Qs_Lot_1[[#This Row],[Type]]="Details", INDEX(TBL_008_Qs_Lot_1[Word limit], MATCH(1, (TBL_SQ_Qs_Lot_1[[#This Row],[Q. No.]]=TBL_008_Qs_Lot_1[Q.])*("Question"=TBL_008_Qs_Lot_1[Type]),0)), "")</f>
        <v/>
      </c>
      <c r="G36" s="364" t="str">
        <f t="array" ref="G36">IF(TBL_SQ_Qs_Lot_1[[#This Row],[Type]]="Details", INDEX(TBL_008_Qs_Lot_1[Max score], MATCH(1, (TBL_SQ_Qs_Lot_1[[#This Row],[Q. No.]]=TBL_008_Qs_Lot_1[Q.])*("Question"=TBL_008_Qs_Lot_1[Type]),0)), "")</f>
        <v/>
      </c>
      <c r="H36" s="364" t="str">
        <f t="array" ref="H36">IF(TBL_SQ_Qs_Lot_1[[#This Row],[Type]]="Details", INDEX(TBL_008_Qs_Lot_1[No.subs], MATCH(1, (TBL_SQ_Qs_Lot_1[[#This Row],[Q. No.]]=TBL_008_Qs_Lot_1[Q.])*("Question"=TBL_008_Qs_Lot_1[Type]),0)), "")</f>
        <v/>
      </c>
      <c r="I36" s="296" t="str">
        <f t="array" ref="I36">IF(TBL_SQ_Qs_Lot_1[[#This Row],[Type]]="Details", IF(INDEX(TBL_008_Qs_Lot_1[App_pages], MATCH(1, (TBL_SQ_Qs_Lot_1[[#This Row],[Q. No.]]=TBL_008_Qs_Lot_1[Q.])*("Question"=TBL_008_Qs_Lot_1[Type]),0))&lt;&gt;"", INDEX(TBL_008_Qs_Lot_1[App_pages], MATCH(1, (TBL_SQ_Qs_Lot_1[[#This Row],[Q. No.]]=TBL_008_Qs_Lot_1[Q.])*("Question"=TBL_008_Qs_Lot_1[Type]),0)), ""), "")</f>
        <v/>
      </c>
      <c r="J36" s="296" t="str">
        <f t="array" ref="J36">IF(TBL_SQ_Qs_Lot_1[[#This Row],[Type]]="Details", IF(INDEX(TBL_008_Qs_Lot_1[App_sub-qs], MATCH(1, (TBL_SQ_Qs_Lot_1[[#This Row],[Q. No.]]=TBL_008_Qs_Lot_1[Q.])*("Question"=TBL_008_Qs_Lot_1[Type]),0))&lt;&gt;"", INDEX(TBL_008_Qs_Lot_1[App_sub-qs], MATCH(1, (TBL_SQ_Qs_Lot_1[[#This Row],[Q. No.]]=TBL_008_Qs_Lot_1[Q.])*("Question"=TBL_008_Qs_Lot_1[Type]),0)), ""), "")</f>
        <v/>
      </c>
      <c r="K36" s="364" t="str">
        <f t="array" ref="K36">IF(TBL_SQ_Qs_Lot_1[[#This Row],[Type]]="Details", INDEX(TBL_008_Qs_Lot_1[Weighting], MATCH(1, (TBL_SQ_Qs_Lot_1[[#This Row],[Q. No.]]=TBL_008_Qs_Lot_1[Q.])*("Question"=TBL_008_Qs_Lot_1[Type]),0)), "")</f>
        <v/>
      </c>
      <c r="L36" s="296" t="str">
        <f>IF($H$4="No", "Shade", IF(OR(TBL_SQ_Qs_Lot_1[[#This Row],[Question]]="Not used
", AND(TBL_SQ_Qs_Lot_1[[#This Row],[Type]]="Details", TBL_SQ_Qs_Lot_1[[#This Row],[Subs]]=0)), "Shade", ""))</f>
        <v>Shade</v>
      </c>
    </row>
    <row r="37" spans="1:12" ht="28">
      <c r="A37" s="237" t="s">
        <v>653</v>
      </c>
      <c r="B37" s="231" t="str">
        <f t="array" ref="B3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Question not used
</v>
      </c>
      <c r="C37" s="409"/>
      <c r="D37" s="298" t="str">
        <f>IF(TBL_SQ_Qs_Lot_1[[#This Row],[Type]]="Question", IF(OR(TBL_SQ_Qs_Lot_1[[#This Row],[Shade?]]="Shade", TBL_SQ_Qs_Lot_1[[#This Row],[Question]]="Question not used
"), "", IF(TBL_SQ_Qs_Lot_1[[#This Row],[Response]]&lt;&gt;"", "Done", "Add")), "")</f>
        <v/>
      </c>
      <c r="E37" s="410" t="s">
        <v>209</v>
      </c>
      <c r="F37" s="313" t="str">
        <f t="array" ref="F37">IF(TBL_SQ_Qs_Lot_1[[#This Row],[Type]]="Details", INDEX(TBL_008_Qs_Lot_1[Word limit], MATCH(1, (TBL_SQ_Qs_Lot_1[[#This Row],[Q. No.]]=TBL_008_Qs_Lot_1[Q.])*("Question"=TBL_008_Qs_Lot_1[Type]),0)), "")</f>
        <v/>
      </c>
      <c r="G37" s="313" t="str">
        <f t="array" ref="G37">IF(TBL_SQ_Qs_Lot_1[[#This Row],[Type]]="Details", INDEX(TBL_008_Qs_Lot_1[Max score], MATCH(1, (TBL_SQ_Qs_Lot_1[[#This Row],[Q. No.]]=TBL_008_Qs_Lot_1[Q.])*("Question"=TBL_008_Qs_Lot_1[Type]),0)), "")</f>
        <v/>
      </c>
      <c r="H37" s="313" t="str">
        <f t="array" ref="H37">IF(TBL_SQ_Qs_Lot_1[[#This Row],[Type]]="Details", INDEX(TBL_008_Qs_Lot_1[No.subs], MATCH(1, (TBL_SQ_Qs_Lot_1[[#This Row],[Q. No.]]=TBL_008_Qs_Lot_1[Q.])*("Question"=TBL_008_Qs_Lot_1[Type]),0)), "")</f>
        <v/>
      </c>
      <c r="I37" s="296" t="str">
        <f t="array" ref="I37">IF(TBL_SQ_Qs_Lot_1[[#This Row],[Type]]="Details", IF(INDEX(TBL_008_Qs_Lot_1[App_pages], MATCH(1, (TBL_SQ_Qs_Lot_1[[#This Row],[Q. No.]]=TBL_008_Qs_Lot_1[Q.])*("Question"=TBL_008_Qs_Lot_1[Type]),0))&lt;&gt;"", INDEX(TBL_008_Qs_Lot_1[App_pages], MATCH(1, (TBL_SQ_Qs_Lot_1[[#This Row],[Q. No.]]=TBL_008_Qs_Lot_1[Q.])*("Question"=TBL_008_Qs_Lot_1[Type]),0)), ""), "")</f>
        <v/>
      </c>
      <c r="J37" s="296" t="str">
        <f t="array" ref="J37">IF(TBL_SQ_Qs_Lot_1[[#This Row],[Type]]="Details", IF(INDEX(TBL_008_Qs_Lot_1[App_sub-qs], MATCH(1, (TBL_SQ_Qs_Lot_1[[#This Row],[Q. No.]]=TBL_008_Qs_Lot_1[Q.])*("Question"=TBL_008_Qs_Lot_1[Type]),0))&lt;&gt;"", INDEX(TBL_008_Qs_Lot_1[App_sub-qs], MATCH(1, (TBL_SQ_Qs_Lot_1[[#This Row],[Q. No.]]=TBL_008_Qs_Lot_1[Q.])*("Question"=TBL_008_Qs_Lot_1[Type]),0)), ""), "")</f>
        <v/>
      </c>
      <c r="K37" s="313" t="str">
        <f t="array" ref="K37">IF(TBL_SQ_Qs_Lot_1[[#This Row],[Type]]="Details", INDEX(TBL_008_Qs_Lot_1[Weighting], MATCH(1, (TBL_SQ_Qs_Lot_1[[#This Row],[Q. No.]]=TBL_008_Qs_Lot_1[Q.])*("Question"=TBL_008_Qs_Lot_1[Type]),0)), "")</f>
        <v/>
      </c>
      <c r="L37" s="296" t="str">
        <f>IF($H$4="No", "Shade", IF(OR(TBL_SQ_Qs_Lot_1[[#This Row],[Question]]="Not used
", AND(TBL_SQ_Qs_Lot_1[[#This Row],[Type]]="Details", TBL_SQ_Qs_Lot_1[[#This Row],[Subs]]=0)), "Shade", ""))</f>
        <v/>
      </c>
    </row>
    <row r="38" spans="1:12" ht="84" hidden="1">
      <c r="A38" s="412" t="s">
        <v>653</v>
      </c>
      <c r="B38" s="220" t="str">
        <f t="array" ref="B3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Q6.2 should have a word count of not more than 0 words.
The maximum score for this question is 0.00 marks (0.00 elements x 5.00 marks)
</v>
      </c>
      <c r="C38" s="234"/>
      <c r="D38" s="366" t="str">
        <f>IF(TBL_SQ_Qs_Lot_1[[#This Row],[Type]]="Question", IF(OR(TBL_SQ_Qs_Lot_1[[#This Row],[Shade?]]="Shade", TBL_SQ_Qs_Lot_1[[#This Row],[Question]]="Question not used
"), "", IF(TBL_SQ_Qs_Lot_1[[#This Row],[Response]]&lt;&gt;"", "Done", "Add")), "")</f>
        <v/>
      </c>
      <c r="E38" s="408" t="s">
        <v>798</v>
      </c>
      <c r="F38" s="364">
        <f t="array" ref="F38">IF(TBL_SQ_Qs_Lot_1[[#This Row],[Type]]="Details", INDEX(TBL_008_Qs_Lot_1[Word limit], MATCH(1, (TBL_SQ_Qs_Lot_1[[#This Row],[Q. No.]]=TBL_008_Qs_Lot_1[Q.])*("Question"=TBL_008_Qs_Lot_1[Type]),0)), "")</f>
        <v>0</v>
      </c>
      <c r="G38" s="364">
        <f t="array" ref="G38">IF(TBL_SQ_Qs_Lot_1[[#This Row],[Type]]="Details", INDEX(TBL_008_Qs_Lot_1[Max score], MATCH(1, (TBL_SQ_Qs_Lot_1[[#This Row],[Q. No.]]=TBL_008_Qs_Lot_1[Q.])*("Question"=TBL_008_Qs_Lot_1[Type]),0)), "")</f>
        <v>0</v>
      </c>
      <c r="H38" s="364">
        <f t="array" ref="H38">IF(TBL_SQ_Qs_Lot_1[[#This Row],[Type]]="Details", INDEX(TBL_008_Qs_Lot_1[No.subs], MATCH(1, (TBL_SQ_Qs_Lot_1[[#This Row],[Q. No.]]=TBL_008_Qs_Lot_1[Q.])*("Question"=TBL_008_Qs_Lot_1[Type]),0)), "")</f>
        <v>0</v>
      </c>
      <c r="I38" s="296" t="str">
        <f t="array" ref="I38">IF(TBL_SQ_Qs_Lot_1[[#This Row],[Type]]="Details", IF(INDEX(TBL_008_Qs_Lot_1[App_pages], MATCH(1, (TBL_SQ_Qs_Lot_1[[#This Row],[Q. No.]]=TBL_008_Qs_Lot_1[Q.])*("Question"=TBL_008_Qs_Lot_1[Type]),0))&lt;&gt;"", INDEX(TBL_008_Qs_Lot_1[App_pages], MATCH(1, (TBL_SQ_Qs_Lot_1[[#This Row],[Q. No.]]=TBL_008_Qs_Lot_1[Q.])*("Question"=TBL_008_Qs_Lot_1[Type]),0)), ""), "")</f>
        <v/>
      </c>
      <c r="J38" s="296" t="str">
        <f t="array" ref="J38">IF(TBL_SQ_Qs_Lot_1[[#This Row],[Type]]="Details", IF(INDEX(TBL_008_Qs_Lot_1[App_sub-qs], MATCH(1, (TBL_SQ_Qs_Lot_1[[#This Row],[Q. No.]]=TBL_008_Qs_Lot_1[Q.])*("Question"=TBL_008_Qs_Lot_1[Type]),0))&lt;&gt;"", INDEX(TBL_008_Qs_Lot_1[App_sub-qs], MATCH(1, (TBL_SQ_Qs_Lot_1[[#This Row],[Q. No.]]=TBL_008_Qs_Lot_1[Q.])*("Question"=TBL_008_Qs_Lot_1[Type]),0)), ""), "")</f>
        <v/>
      </c>
      <c r="K38" s="364" t="str">
        <f t="array" ref="K38">IF(TBL_SQ_Qs_Lot_1[[#This Row],[Type]]="Details", INDEX(TBL_008_Qs_Lot_1[Weighting], MATCH(1, (TBL_SQ_Qs_Lot_1[[#This Row],[Q. No.]]=TBL_008_Qs_Lot_1[Q.])*("Question"=TBL_008_Qs_Lot_1[Type]),0)), "")</f>
        <v>N/A</v>
      </c>
      <c r="L38" s="296" t="str">
        <f>IF($H$4="No", "Shade", IF(OR(TBL_SQ_Qs_Lot_1[[#This Row],[Question]]="Not used
", AND(TBL_SQ_Qs_Lot_1[[#This Row],[Type]]="Details", TBL_SQ_Qs_Lot_1[[#This Row],[Subs]]=0)), "Shade", ""))</f>
        <v>Shade</v>
      </c>
    </row>
    <row r="39" spans="1:12" ht="28" hidden="1">
      <c r="A39" s="239" t="s">
        <v>1114</v>
      </c>
      <c r="B39" s="84" t="str">
        <f t="array" ref="B3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39" s="234"/>
      <c r="D39" s="300" t="str">
        <f>IF(TBL_SQ_Qs_Lot_1[[#This Row],[Type]]="Question", IF(OR(TBL_SQ_Qs_Lot_1[[#This Row],[Shade?]]="Shade", TBL_SQ_Qs_Lot_1[[#This Row],[Question]]="Question not used
"), "", IF(TBL_SQ_Qs_Lot_1[[#This Row],[Response]]&lt;&gt;"", "Done", "Add")), "")</f>
        <v/>
      </c>
      <c r="E39" s="411" t="s">
        <v>779</v>
      </c>
      <c r="F39" s="405" t="str">
        <f t="array" ref="F39">IF(TBL_SQ_Qs_Lot_1[[#This Row],[Type]]="Details", INDEX(TBL_008_Qs_Lot_1[Word limit], MATCH(1, (TBL_SQ_Qs_Lot_1[[#This Row],[Q. No.]]=TBL_008_Qs_Lot_1[Q.])*("Question"=TBL_008_Qs_Lot_1[Type]),0)), "")</f>
        <v/>
      </c>
      <c r="G39" s="405" t="str">
        <f t="array" ref="G39">IF(TBL_SQ_Qs_Lot_1[[#This Row],[Type]]="Details", INDEX(TBL_008_Qs_Lot_1[Max score], MATCH(1, (TBL_SQ_Qs_Lot_1[[#This Row],[Q. No.]]=TBL_008_Qs_Lot_1[Q.])*("Question"=TBL_008_Qs_Lot_1[Type]),0)), "")</f>
        <v/>
      </c>
      <c r="H39" s="405" t="str">
        <f t="array" ref="H39">IF(TBL_SQ_Qs_Lot_1[[#This Row],[Type]]="Details", INDEX(TBL_008_Qs_Lot_1[No.subs], MATCH(1, (TBL_SQ_Qs_Lot_1[[#This Row],[Q. No.]]=TBL_008_Qs_Lot_1[Q.])*("Question"=TBL_008_Qs_Lot_1[Type]),0)), "")</f>
        <v/>
      </c>
      <c r="I39" s="296" t="str">
        <f t="array" ref="I39">IF(TBL_SQ_Qs_Lot_1[[#This Row],[Type]]="Details", IF(INDEX(TBL_008_Qs_Lot_1[App_pages], MATCH(1, (TBL_SQ_Qs_Lot_1[[#This Row],[Q. No.]]=TBL_008_Qs_Lot_1[Q.])*("Question"=TBL_008_Qs_Lot_1[Type]),0))&lt;&gt;"", INDEX(TBL_008_Qs_Lot_1[App_pages], MATCH(1, (TBL_SQ_Qs_Lot_1[[#This Row],[Q. No.]]=TBL_008_Qs_Lot_1[Q.])*("Question"=TBL_008_Qs_Lot_1[Type]),0)), ""), "")</f>
        <v/>
      </c>
      <c r="J39" s="296" t="str">
        <f t="array" ref="J39">IF(TBL_SQ_Qs_Lot_1[[#This Row],[Type]]="Details", IF(INDEX(TBL_008_Qs_Lot_1[App_sub-qs], MATCH(1, (TBL_SQ_Qs_Lot_1[[#This Row],[Q. No.]]=TBL_008_Qs_Lot_1[Q.])*("Question"=TBL_008_Qs_Lot_1[Type]),0))&lt;&gt;"", INDEX(TBL_008_Qs_Lot_1[App_sub-qs], MATCH(1, (TBL_SQ_Qs_Lot_1[[#This Row],[Q. No.]]=TBL_008_Qs_Lot_1[Q.])*("Question"=TBL_008_Qs_Lot_1[Type]),0)), ""), "")</f>
        <v/>
      </c>
      <c r="K39" s="405" t="str">
        <f t="array" ref="K39">IF(TBL_SQ_Qs_Lot_1[[#This Row],[Type]]="Details", INDEX(TBL_008_Qs_Lot_1[Weighting], MATCH(1, (TBL_SQ_Qs_Lot_1[[#This Row],[Q. No.]]=TBL_008_Qs_Lot_1[Q.])*("Question"=TBL_008_Qs_Lot_1[Type]),0)), "")</f>
        <v/>
      </c>
      <c r="L39" s="296" t="str">
        <f>IF($H$4="No", "Shade", IF(OR(TBL_SQ_Qs_Lot_1[[#This Row],[Question]]="Not used
", AND(TBL_SQ_Qs_Lot_1[[#This Row],[Type]]="Details", TBL_SQ_Qs_Lot_1[[#This Row],[Subs]]=0)), "Shade", ""))</f>
        <v>Shade</v>
      </c>
    </row>
    <row r="40" spans="1:12" ht="28" hidden="1">
      <c r="A40" s="239" t="s">
        <v>1115</v>
      </c>
      <c r="B40" s="84" t="str">
        <f t="array" ref="B4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0" s="234"/>
      <c r="D40" s="297" t="str">
        <f>IF(TBL_SQ_Qs_Lot_1[[#This Row],[Type]]="Question", IF(OR(TBL_SQ_Qs_Lot_1[[#This Row],[Shade?]]="Shade", TBL_SQ_Qs_Lot_1[[#This Row],[Question]]="Question not used
"), "", IF(TBL_SQ_Qs_Lot_1[[#This Row],[Response]]&lt;&gt;"", "Done", "Add")), "")</f>
        <v/>
      </c>
      <c r="E40" s="408" t="s">
        <v>779</v>
      </c>
      <c r="F40" s="364" t="str">
        <f t="array" ref="F40">IF(TBL_SQ_Qs_Lot_1[[#This Row],[Type]]="Details", INDEX(TBL_008_Qs_Lot_1[Word limit], MATCH(1, (TBL_SQ_Qs_Lot_1[[#This Row],[Q. No.]]=TBL_008_Qs_Lot_1[Q.])*("Question"=TBL_008_Qs_Lot_1[Type]),0)), "")</f>
        <v/>
      </c>
      <c r="G40" s="364" t="str">
        <f t="array" ref="G40">IF(TBL_SQ_Qs_Lot_1[[#This Row],[Type]]="Details", INDEX(TBL_008_Qs_Lot_1[Max score], MATCH(1, (TBL_SQ_Qs_Lot_1[[#This Row],[Q. No.]]=TBL_008_Qs_Lot_1[Q.])*("Question"=TBL_008_Qs_Lot_1[Type]),0)), "")</f>
        <v/>
      </c>
      <c r="H40" s="364" t="str">
        <f t="array" ref="H40">IF(TBL_SQ_Qs_Lot_1[[#This Row],[Type]]="Details", INDEX(TBL_008_Qs_Lot_1[No.subs], MATCH(1, (TBL_SQ_Qs_Lot_1[[#This Row],[Q. No.]]=TBL_008_Qs_Lot_1[Q.])*("Question"=TBL_008_Qs_Lot_1[Type]),0)), "")</f>
        <v/>
      </c>
      <c r="I40" s="296" t="str">
        <f t="array" ref="I40">IF(TBL_SQ_Qs_Lot_1[[#This Row],[Type]]="Details", IF(INDEX(TBL_008_Qs_Lot_1[App_pages], MATCH(1, (TBL_SQ_Qs_Lot_1[[#This Row],[Q. No.]]=TBL_008_Qs_Lot_1[Q.])*("Question"=TBL_008_Qs_Lot_1[Type]),0))&lt;&gt;"", INDEX(TBL_008_Qs_Lot_1[App_pages], MATCH(1, (TBL_SQ_Qs_Lot_1[[#This Row],[Q. No.]]=TBL_008_Qs_Lot_1[Q.])*("Question"=TBL_008_Qs_Lot_1[Type]),0)), ""), "")</f>
        <v/>
      </c>
      <c r="J40" s="296" t="str">
        <f t="array" ref="J40">IF(TBL_SQ_Qs_Lot_1[[#This Row],[Type]]="Details", IF(INDEX(TBL_008_Qs_Lot_1[App_sub-qs], MATCH(1, (TBL_SQ_Qs_Lot_1[[#This Row],[Q. No.]]=TBL_008_Qs_Lot_1[Q.])*("Question"=TBL_008_Qs_Lot_1[Type]),0))&lt;&gt;"", INDEX(TBL_008_Qs_Lot_1[App_sub-qs], MATCH(1, (TBL_SQ_Qs_Lot_1[[#This Row],[Q. No.]]=TBL_008_Qs_Lot_1[Q.])*("Question"=TBL_008_Qs_Lot_1[Type]),0)), ""), "")</f>
        <v/>
      </c>
      <c r="K40" s="364" t="str">
        <f t="array" ref="K40">IF(TBL_SQ_Qs_Lot_1[[#This Row],[Type]]="Details", INDEX(TBL_008_Qs_Lot_1[Weighting], MATCH(1, (TBL_SQ_Qs_Lot_1[[#This Row],[Q. No.]]=TBL_008_Qs_Lot_1[Q.])*("Question"=TBL_008_Qs_Lot_1[Type]),0)), "")</f>
        <v/>
      </c>
      <c r="L40" s="296" t="str">
        <f>IF($H$4="No", "Shade", IF(OR(TBL_SQ_Qs_Lot_1[[#This Row],[Question]]="Not used
", AND(TBL_SQ_Qs_Lot_1[[#This Row],[Type]]="Details", TBL_SQ_Qs_Lot_1[[#This Row],[Subs]]=0)), "Shade", ""))</f>
        <v>Shade</v>
      </c>
    </row>
    <row r="41" spans="1:12" ht="28" hidden="1">
      <c r="A41" s="239" t="s">
        <v>1116</v>
      </c>
      <c r="B41" s="84" t="str">
        <f t="array" ref="B4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1" s="234"/>
      <c r="D41" s="297" t="str">
        <f>IF(TBL_SQ_Qs_Lot_1[[#This Row],[Type]]="Question", IF(OR(TBL_SQ_Qs_Lot_1[[#This Row],[Shade?]]="Shade", TBL_SQ_Qs_Lot_1[[#This Row],[Question]]="Question not used
"), "", IF(TBL_SQ_Qs_Lot_1[[#This Row],[Response]]&lt;&gt;"", "Done", "Add")), "")</f>
        <v/>
      </c>
      <c r="E41" s="408" t="s">
        <v>779</v>
      </c>
      <c r="F41" s="364" t="str">
        <f t="array" ref="F41">IF(TBL_SQ_Qs_Lot_1[[#This Row],[Type]]="Details", INDEX(TBL_008_Qs_Lot_1[Word limit], MATCH(1, (TBL_SQ_Qs_Lot_1[[#This Row],[Q. No.]]=TBL_008_Qs_Lot_1[Q.])*("Question"=TBL_008_Qs_Lot_1[Type]),0)), "")</f>
        <v/>
      </c>
      <c r="G41" s="364" t="str">
        <f t="array" ref="G41">IF(TBL_SQ_Qs_Lot_1[[#This Row],[Type]]="Details", INDEX(TBL_008_Qs_Lot_1[Max score], MATCH(1, (TBL_SQ_Qs_Lot_1[[#This Row],[Q. No.]]=TBL_008_Qs_Lot_1[Q.])*("Question"=TBL_008_Qs_Lot_1[Type]),0)), "")</f>
        <v/>
      </c>
      <c r="H41" s="364" t="str">
        <f t="array" ref="H41">IF(TBL_SQ_Qs_Lot_1[[#This Row],[Type]]="Details", INDEX(TBL_008_Qs_Lot_1[No.subs], MATCH(1, (TBL_SQ_Qs_Lot_1[[#This Row],[Q. No.]]=TBL_008_Qs_Lot_1[Q.])*("Question"=TBL_008_Qs_Lot_1[Type]),0)), "")</f>
        <v/>
      </c>
      <c r="I41" s="296" t="str">
        <f t="array" ref="I41">IF(TBL_SQ_Qs_Lot_1[[#This Row],[Type]]="Details", IF(INDEX(TBL_008_Qs_Lot_1[App_pages], MATCH(1, (TBL_SQ_Qs_Lot_1[[#This Row],[Q. No.]]=TBL_008_Qs_Lot_1[Q.])*("Question"=TBL_008_Qs_Lot_1[Type]),0))&lt;&gt;"", INDEX(TBL_008_Qs_Lot_1[App_pages], MATCH(1, (TBL_SQ_Qs_Lot_1[[#This Row],[Q. No.]]=TBL_008_Qs_Lot_1[Q.])*("Question"=TBL_008_Qs_Lot_1[Type]),0)), ""), "")</f>
        <v/>
      </c>
      <c r="J41" s="296" t="str">
        <f t="array" ref="J41">IF(TBL_SQ_Qs_Lot_1[[#This Row],[Type]]="Details", IF(INDEX(TBL_008_Qs_Lot_1[App_sub-qs], MATCH(1, (TBL_SQ_Qs_Lot_1[[#This Row],[Q. No.]]=TBL_008_Qs_Lot_1[Q.])*("Question"=TBL_008_Qs_Lot_1[Type]),0))&lt;&gt;"", INDEX(TBL_008_Qs_Lot_1[App_sub-qs], MATCH(1, (TBL_SQ_Qs_Lot_1[[#This Row],[Q. No.]]=TBL_008_Qs_Lot_1[Q.])*("Question"=TBL_008_Qs_Lot_1[Type]),0)), ""), "")</f>
        <v/>
      </c>
      <c r="K41" s="364" t="str">
        <f t="array" ref="K41">IF(TBL_SQ_Qs_Lot_1[[#This Row],[Type]]="Details", INDEX(TBL_008_Qs_Lot_1[Weighting], MATCH(1, (TBL_SQ_Qs_Lot_1[[#This Row],[Q. No.]]=TBL_008_Qs_Lot_1[Q.])*("Question"=TBL_008_Qs_Lot_1[Type]),0)), "")</f>
        <v/>
      </c>
      <c r="L41" s="296" t="str">
        <f>IF($H$4="No", "Shade", IF(OR(TBL_SQ_Qs_Lot_1[[#This Row],[Question]]="Not used
", AND(TBL_SQ_Qs_Lot_1[[#This Row],[Type]]="Details", TBL_SQ_Qs_Lot_1[[#This Row],[Subs]]=0)), "Shade", ""))</f>
        <v>Shade</v>
      </c>
    </row>
    <row r="42" spans="1:12" ht="28" hidden="1">
      <c r="A42" s="239" t="s">
        <v>1117</v>
      </c>
      <c r="B42" s="84" t="str">
        <f t="array" ref="B4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2" s="234"/>
      <c r="D42" s="297" t="str">
        <f>IF(TBL_SQ_Qs_Lot_1[[#This Row],[Type]]="Question", IF(OR(TBL_SQ_Qs_Lot_1[[#This Row],[Shade?]]="Shade", TBL_SQ_Qs_Lot_1[[#This Row],[Question]]="Question not used
"), "", IF(TBL_SQ_Qs_Lot_1[[#This Row],[Response]]&lt;&gt;"", "Done", "Add")), "")</f>
        <v/>
      </c>
      <c r="E42" s="408" t="s">
        <v>779</v>
      </c>
      <c r="F42" s="364" t="str">
        <f t="array" ref="F42">IF(TBL_SQ_Qs_Lot_1[[#This Row],[Type]]="Details", INDEX(TBL_008_Qs_Lot_1[Word limit], MATCH(1, (TBL_SQ_Qs_Lot_1[[#This Row],[Q. No.]]=TBL_008_Qs_Lot_1[Q.])*("Question"=TBL_008_Qs_Lot_1[Type]),0)), "")</f>
        <v/>
      </c>
      <c r="G42" s="364" t="str">
        <f t="array" ref="G42">IF(TBL_SQ_Qs_Lot_1[[#This Row],[Type]]="Details", INDEX(TBL_008_Qs_Lot_1[Max score], MATCH(1, (TBL_SQ_Qs_Lot_1[[#This Row],[Q. No.]]=TBL_008_Qs_Lot_1[Q.])*("Question"=TBL_008_Qs_Lot_1[Type]),0)), "")</f>
        <v/>
      </c>
      <c r="H42" s="364" t="str">
        <f t="array" ref="H42">IF(TBL_SQ_Qs_Lot_1[[#This Row],[Type]]="Details", INDEX(TBL_008_Qs_Lot_1[No.subs], MATCH(1, (TBL_SQ_Qs_Lot_1[[#This Row],[Q. No.]]=TBL_008_Qs_Lot_1[Q.])*("Question"=TBL_008_Qs_Lot_1[Type]),0)), "")</f>
        <v/>
      </c>
      <c r="I42" s="296" t="str">
        <f t="array" ref="I42">IF(TBL_SQ_Qs_Lot_1[[#This Row],[Type]]="Details", IF(INDEX(TBL_008_Qs_Lot_1[App_pages], MATCH(1, (TBL_SQ_Qs_Lot_1[[#This Row],[Q. No.]]=TBL_008_Qs_Lot_1[Q.])*("Question"=TBL_008_Qs_Lot_1[Type]),0))&lt;&gt;"", INDEX(TBL_008_Qs_Lot_1[App_pages], MATCH(1, (TBL_SQ_Qs_Lot_1[[#This Row],[Q. No.]]=TBL_008_Qs_Lot_1[Q.])*("Question"=TBL_008_Qs_Lot_1[Type]),0)), ""), "")</f>
        <v/>
      </c>
      <c r="J42" s="296" t="str">
        <f t="array" ref="J42">IF(TBL_SQ_Qs_Lot_1[[#This Row],[Type]]="Details", IF(INDEX(TBL_008_Qs_Lot_1[App_sub-qs], MATCH(1, (TBL_SQ_Qs_Lot_1[[#This Row],[Q. No.]]=TBL_008_Qs_Lot_1[Q.])*("Question"=TBL_008_Qs_Lot_1[Type]),0))&lt;&gt;"", INDEX(TBL_008_Qs_Lot_1[App_sub-qs], MATCH(1, (TBL_SQ_Qs_Lot_1[[#This Row],[Q. No.]]=TBL_008_Qs_Lot_1[Q.])*("Question"=TBL_008_Qs_Lot_1[Type]),0)), ""), "")</f>
        <v/>
      </c>
      <c r="K42" s="364" t="str">
        <f t="array" ref="K42">IF(TBL_SQ_Qs_Lot_1[[#This Row],[Type]]="Details", INDEX(TBL_008_Qs_Lot_1[Weighting], MATCH(1, (TBL_SQ_Qs_Lot_1[[#This Row],[Q. No.]]=TBL_008_Qs_Lot_1[Q.])*("Question"=TBL_008_Qs_Lot_1[Type]),0)), "")</f>
        <v/>
      </c>
      <c r="L42" s="296" t="str">
        <f>IF($H$4="No", "Shade", IF(OR(TBL_SQ_Qs_Lot_1[[#This Row],[Question]]="Not used
", AND(TBL_SQ_Qs_Lot_1[[#This Row],[Type]]="Details", TBL_SQ_Qs_Lot_1[[#This Row],[Subs]]=0)), "Shade", ""))</f>
        <v>Shade</v>
      </c>
    </row>
    <row r="43" spans="1:12" ht="28" hidden="1">
      <c r="A43" s="239" t="s">
        <v>1118</v>
      </c>
      <c r="B43" s="84" t="str">
        <f t="array" ref="B4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3" s="234"/>
      <c r="D43" s="297" t="str">
        <f>IF(TBL_SQ_Qs_Lot_1[[#This Row],[Type]]="Question", IF(OR(TBL_SQ_Qs_Lot_1[[#This Row],[Shade?]]="Shade", TBL_SQ_Qs_Lot_1[[#This Row],[Question]]="Question not used
"), "", IF(TBL_SQ_Qs_Lot_1[[#This Row],[Response]]&lt;&gt;"", "Done", "Add")), "")</f>
        <v/>
      </c>
      <c r="E43" s="408" t="s">
        <v>779</v>
      </c>
      <c r="F43" s="364" t="str">
        <f t="array" ref="F43">IF(TBL_SQ_Qs_Lot_1[[#This Row],[Type]]="Details", INDEX(TBL_008_Qs_Lot_1[Word limit], MATCH(1, (TBL_SQ_Qs_Lot_1[[#This Row],[Q. No.]]=TBL_008_Qs_Lot_1[Q.])*("Question"=TBL_008_Qs_Lot_1[Type]),0)), "")</f>
        <v/>
      </c>
      <c r="G43" s="364" t="str">
        <f t="array" ref="G43">IF(TBL_SQ_Qs_Lot_1[[#This Row],[Type]]="Details", INDEX(TBL_008_Qs_Lot_1[Max score], MATCH(1, (TBL_SQ_Qs_Lot_1[[#This Row],[Q. No.]]=TBL_008_Qs_Lot_1[Q.])*("Question"=TBL_008_Qs_Lot_1[Type]),0)), "")</f>
        <v/>
      </c>
      <c r="H43" s="364" t="str">
        <f t="array" ref="H43">IF(TBL_SQ_Qs_Lot_1[[#This Row],[Type]]="Details", INDEX(TBL_008_Qs_Lot_1[No.subs], MATCH(1, (TBL_SQ_Qs_Lot_1[[#This Row],[Q. No.]]=TBL_008_Qs_Lot_1[Q.])*("Question"=TBL_008_Qs_Lot_1[Type]),0)), "")</f>
        <v/>
      </c>
      <c r="I43" s="296" t="str">
        <f t="array" ref="I43">IF(TBL_SQ_Qs_Lot_1[[#This Row],[Type]]="Details", IF(INDEX(TBL_008_Qs_Lot_1[App_pages], MATCH(1, (TBL_SQ_Qs_Lot_1[[#This Row],[Q. No.]]=TBL_008_Qs_Lot_1[Q.])*("Question"=TBL_008_Qs_Lot_1[Type]),0))&lt;&gt;"", INDEX(TBL_008_Qs_Lot_1[App_pages], MATCH(1, (TBL_SQ_Qs_Lot_1[[#This Row],[Q. No.]]=TBL_008_Qs_Lot_1[Q.])*("Question"=TBL_008_Qs_Lot_1[Type]),0)), ""), "")</f>
        <v/>
      </c>
      <c r="J43" s="296" t="str">
        <f t="array" ref="J43">IF(TBL_SQ_Qs_Lot_1[[#This Row],[Type]]="Details", IF(INDEX(TBL_008_Qs_Lot_1[App_sub-qs], MATCH(1, (TBL_SQ_Qs_Lot_1[[#This Row],[Q. No.]]=TBL_008_Qs_Lot_1[Q.])*("Question"=TBL_008_Qs_Lot_1[Type]),0))&lt;&gt;"", INDEX(TBL_008_Qs_Lot_1[App_sub-qs], MATCH(1, (TBL_SQ_Qs_Lot_1[[#This Row],[Q. No.]]=TBL_008_Qs_Lot_1[Q.])*("Question"=TBL_008_Qs_Lot_1[Type]),0)), ""), "")</f>
        <v/>
      </c>
      <c r="K43" s="364" t="str">
        <f t="array" ref="K43">IF(TBL_SQ_Qs_Lot_1[[#This Row],[Type]]="Details", INDEX(TBL_008_Qs_Lot_1[Weighting], MATCH(1, (TBL_SQ_Qs_Lot_1[[#This Row],[Q. No.]]=TBL_008_Qs_Lot_1[Q.])*("Question"=TBL_008_Qs_Lot_1[Type]),0)), "")</f>
        <v/>
      </c>
      <c r="L43" s="296" t="str">
        <f>IF($H$4="No", "Shade", IF(OR(TBL_SQ_Qs_Lot_1[[#This Row],[Question]]="Not used
", AND(TBL_SQ_Qs_Lot_1[[#This Row],[Type]]="Details", TBL_SQ_Qs_Lot_1[[#This Row],[Subs]]=0)), "Shade", ""))</f>
        <v>Shade</v>
      </c>
    </row>
    <row r="44" spans="1:12" ht="28" hidden="1">
      <c r="A44" s="239" t="s">
        <v>1119</v>
      </c>
      <c r="B44" s="84" t="str">
        <f t="array" ref="B4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4" s="234"/>
      <c r="D44" s="297" t="str">
        <f>IF(TBL_SQ_Qs_Lot_1[[#This Row],[Type]]="Question", IF(OR(TBL_SQ_Qs_Lot_1[[#This Row],[Shade?]]="Shade", TBL_SQ_Qs_Lot_1[[#This Row],[Question]]="Question not used
"), "", IF(TBL_SQ_Qs_Lot_1[[#This Row],[Response]]&lt;&gt;"", "Done", "Add")), "")</f>
        <v/>
      </c>
      <c r="E44" s="408" t="s">
        <v>779</v>
      </c>
      <c r="F44" s="364" t="str">
        <f t="array" ref="F44">IF(TBL_SQ_Qs_Lot_1[[#This Row],[Type]]="Details", INDEX(TBL_008_Qs_Lot_1[Word limit], MATCH(1, (TBL_SQ_Qs_Lot_1[[#This Row],[Q. No.]]=TBL_008_Qs_Lot_1[Q.])*("Question"=TBL_008_Qs_Lot_1[Type]),0)), "")</f>
        <v/>
      </c>
      <c r="G44" s="364" t="str">
        <f t="array" ref="G44">IF(TBL_SQ_Qs_Lot_1[[#This Row],[Type]]="Details", INDEX(TBL_008_Qs_Lot_1[Max score], MATCH(1, (TBL_SQ_Qs_Lot_1[[#This Row],[Q. No.]]=TBL_008_Qs_Lot_1[Q.])*("Question"=TBL_008_Qs_Lot_1[Type]),0)), "")</f>
        <v/>
      </c>
      <c r="H44" s="364" t="str">
        <f t="array" ref="H44">IF(TBL_SQ_Qs_Lot_1[[#This Row],[Type]]="Details", INDEX(TBL_008_Qs_Lot_1[No.subs], MATCH(1, (TBL_SQ_Qs_Lot_1[[#This Row],[Q. No.]]=TBL_008_Qs_Lot_1[Q.])*("Question"=TBL_008_Qs_Lot_1[Type]),0)), "")</f>
        <v/>
      </c>
      <c r="I44" s="296" t="str">
        <f t="array" ref="I44">IF(TBL_SQ_Qs_Lot_1[[#This Row],[Type]]="Details", IF(INDEX(TBL_008_Qs_Lot_1[App_pages], MATCH(1, (TBL_SQ_Qs_Lot_1[[#This Row],[Q. No.]]=TBL_008_Qs_Lot_1[Q.])*("Question"=TBL_008_Qs_Lot_1[Type]),0))&lt;&gt;"", INDEX(TBL_008_Qs_Lot_1[App_pages], MATCH(1, (TBL_SQ_Qs_Lot_1[[#This Row],[Q. No.]]=TBL_008_Qs_Lot_1[Q.])*("Question"=TBL_008_Qs_Lot_1[Type]),0)), ""), "")</f>
        <v/>
      </c>
      <c r="J44" s="296" t="str">
        <f t="array" ref="J44">IF(TBL_SQ_Qs_Lot_1[[#This Row],[Type]]="Details", IF(INDEX(TBL_008_Qs_Lot_1[App_sub-qs], MATCH(1, (TBL_SQ_Qs_Lot_1[[#This Row],[Q. No.]]=TBL_008_Qs_Lot_1[Q.])*("Question"=TBL_008_Qs_Lot_1[Type]),0))&lt;&gt;"", INDEX(TBL_008_Qs_Lot_1[App_sub-qs], MATCH(1, (TBL_SQ_Qs_Lot_1[[#This Row],[Q. No.]]=TBL_008_Qs_Lot_1[Q.])*("Question"=TBL_008_Qs_Lot_1[Type]),0)), ""), "")</f>
        <v/>
      </c>
      <c r="K44" s="364" t="str">
        <f t="array" ref="K44">IF(TBL_SQ_Qs_Lot_1[[#This Row],[Type]]="Details", INDEX(TBL_008_Qs_Lot_1[Weighting], MATCH(1, (TBL_SQ_Qs_Lot_1[[#This Row],[Q. No.]]=TBL_008_Qs_Lot_1[Q.])*("Question"=TBL_008_Qs_Lot_1[Type]),0)), "")</f>
        <v/>
      </c>
      <c r="L44" s="296" t="str">
        <f>IF($H$4="No", "Shade", IF(OR(TBL_SQ_Qs_Lot_1[[#This Row],[Question]]="Not used
", AND(TBL_SQ_Qs_Lot_1[[#This Row],[Type]]="Details", TBL_SQ_Qs_Lot_1[[#This Row],[Subs]]=0)), "Shade", ""))</f>
        <v>Shade</v>
      </c>
    </row>
    <row r="45" spans="1:12" ht="28" hidden="1">
      <c r="A45" s="239" t="s">
        <v>1120</v>
      </c>
      <c r="B45" s="84" t="str">
        <f t="array" ref="B4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5" s="234"/>
      <c r="D45" s="297" t="str">
        <f>IF(TBL_SQ_Qs_Lot_1[[#This Row],[Type]]="Question", IF(OR(TBL_SQ_Qs_Lot_1[[#This Row],[Shade?]]="Shade", TBL_SQ_Qs_Lot_1[[#This Row],[Question]]="Question not used
"), "", IF(TBL_SQ_Qs_Lot_1[[#This Row],[Response]]&lt;&gt;"", "Done", "Add")), "")</f>
        <v/>
      </c>
      <c r="E45" s="408" t="s">
        <v>779</v>
      </c>
      <c r="F45" s="364" t="str">
        <f t="array" ref="F45">IF(TBL_SQ_Qs_Lot_1[[#This Row],[Type]]="Details", INDEX(TBL_008_Qs_Lot_1[Word limit], MATCH(1, (TBL_SQ_Qs_Lot_1[[#This Row],[Q. No.]]=TBL_008_Qs_Lot_1[Q.])*("Question"=TBL_008_Qs_Lot_1[Type]),0)), "")</f>
        <v/>
      </c>
      <c r="G45" s="364" t="str">
        <f t="array" ref="G45">IF(TBL_SQ_Qs_Lot_1[[#This Row],[Type]]="Details", INDEX(TBL_008_Qs_Lot_1[Max score], MATCH(1, (TBL_SQ_Qs_Lot_1[[#This Row],[Q. No.]]=TBL_008_Qs_Lot_1[Q.])*("Question"=TBL_008_Qs_Lot_1[Type]),0)), "")</f>
        <v/>
      </c>
      <c r="H45" s="364" t="str">
        <f t="array" ref="H45">IF(TBL_SQ_Qs_Lot_1[[#This Row],[Type]]="Details", INDEX(TBL_008_Qs_Lot_1[No.subs], MATCH(1, (TBL_SQ_Qs_Lot_1[[#This Row],[Q. No.]]=TBL_008_Qs_Lot_1[Q.])*("Question"=TBL_008_Qs_Lot_1[Type]),0)), "")</f>
        <v/>
      </c>
      <c r="I45" s="296" t="str">
        <f t="array" ref="I45">IF(TBL_SQ_Qs_Lot_1[[#This Row],[Type]]="Details", IF(INDEX(TBL_008_Qs_Lot_1[App_pages], MATCH(1, (TBL_SQ_Qs_Lot_1[[#This Row],[Q. No.]]=TBL_008_Qs_Lot_1[Q.])*("Question"=TBL_008_Qs_Lot_1[Type]),0))&lt;&gt;"", INDEX(TBL_008_Qs_Lot_1[App_pages], MATCH(1, (TBL_SQ_Qs_Lot_1[[#This Row],[Q. No.]]=TBL_008_Qs_Lot_1[Q.])*("Question"=TBL_008_Qs_Lot_1[Type]),0)), ""), "")</f>
        <v/>
      </c>
      <c r="J45" s="296" t="str">
        <f t="array" ref="J45">IF(TBL_SQ_Qs_Lot_1[[#This Row],[Type]]="Details", IF(INDEX(TBL_008_Qs_Lot_1[App_sub-qs], MATCH(1, (TBL_SQ_Qs_Lot_1[[#This Row],[Q. No.]]=TBL_008_Qs_Lot_1[Q.])*("Question"=TBL_008_Qs_Lot_1[Type]),0))&lt;&gt;"", INDEX(TBL_008_Qs_Lot_1[App_sub-qs], MATCH(1, (TBL_SQ_Qs_Lot_1[[#This Row],[Q. No.]]=TBL_008_Qs_Lot_1[Q.])*("Question"=TBL_008_Qs_Lot_1[Type]),0)), ""), "")</f>
        <v/>
      </c>
      <c r="K45" s="364" t="str">
        <f t="array" ref="K45">IF(TBL_SQ_Qs_Lot_1[[#This Row],[Type]]="Details", INDEX(TBL_008_Qs_Lot_1[Weighting], MATCH(1, (TBL_SQ_Qs_Lot_1[[#This Row],[Q. No.]]=TBL_008_Qs_Lot_1[Q.])*("Question"=TBL_008_Qs_Lot_1[Type]),0)), "")</f>
        <v/>
      </c>
      <c r="L45" s="296" t="str">
        <f>IF($H$4="No", "Shade", IF(OR(TBL_SQ_Qs_Lot_1[[#This Row],[Question]]="Not used
", AND(TBL_SQ_Qs_Lot_1[[#This Row],[Type]]="Details", TBL_SQ_Qs_Lot_1[[#This Row],[Subs]]=0)), "Shade", ""))</f>
        <v>Shade</v>
      </c>
    </row>
    <row r="46" spans="1:12" ht="28" hidden="1">
      <c r="A46" s="239" t="s">
        <v>1121</v>
      </c>
      <c r="B46" s="84" t="str">
        <f t="array" ref="B4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6" s="234"/>
      <c r="D46" s="297" t="str">
        <f>IF(TBL_SQ_Qs_Lot_1[[#This Row],[Type]]="Question", IF(OR(TBL_SQ_Qs_Lot_1[[#This Row],[Shade?]]="Shade", TBL_SQ_Qs_Lot_1[[#This Row],[Question]]="Question not used
"), "", IF(TBL_SQ_Qs_Lot_1[[#This Row],[Response]]&lt;&gt;"", "Done", "Add")), "")</f>
        <v/>
      </c>
      <c r="E46" s="408" t="s">
        <v>779</v>
      </c>
      <c r="F46" s="364" t="str">
        <f t="array" ref="F46">IF(TBL_SQ_Qs_Lot_1[[#This Row],[Type]]="Details", INDEX(TBL_008_Qs_Lot_1[Word limit], MATCH(1, (TBL_SQ_Qs_Lot_1[[#This Row],[Q. No.]]=TBL_008_Qs_Lot_1[Q.])*("Question"=TBL_008_Qs_Lot_1[Type]),0)), "")</f>
        <v/>
      </c>
      <c r="G46" s="364" t="str">
        <f t="array" ref="G46">IF(TBL_SQ_Qs_Lot_1[[#This Row],[Type]]="Details", INDEX(TBL_008_Qs_Lot_1[Max score], MATCH(1, (TBL_SQ_Qs_Lot_1[[#This Row],[Q. No.]]=TBL_008_Qs_Lot_1[Q.])*("Question"=TBL_008_Qs_Lot_1[Type]),0)), "")</f>
        <v/>
      </c>
      <c r="H46" s="364" t="str">
        <f t="array" ref="H46">IF(TBL_SQ_Qs_Lot_1[[#This Row],[Type]]="Details", INDEX(TBL_008_Qs_Lot_1[No.subs], MATCH(1, (TBL_SQ_Qs_Lot_1[[#This Row],[Q. No.]]=TBL_008_Qs_Lot_1[Q.])*("Question"=TBL_008_Qs_Lot_1[Type]),0)), "")</f>
        <v/>
      </c>
      <c r="I46" s="296" t="str">
        <f t="array" ref="I46">IF(TBL_SQ_Qs_Lot_1[[#This Row],[Type]]="Details", IF(INDEX(TBL_008_Qs_Lot_1[App_pages], MATCH(1, (TBL_SQ_Qs_Lot_1[[#This Row],[Q. No.]]=TBL_008_Qs_Lot_1[Q.])*("Question"=TBL_008_Qs_Lot_1[Type]),0))&lt;&gt;"", INDEX(TBL_008_Qs_Lot_1[App_pages], MATCH(1, (TBL_SQ_Qs_Lot_1[[#This Row],[Q. No.]]=TBL_008_Qs_Lot_1[Q.])*("Question"=TBL_008_Qs_Lot_1[Type]),0)), ""), "")</f>
        <v/>
      </c>
      <c r="J46" s="296" t="str">
        <f t="array" ref="J46">IF(TBL_SQ_Qs_Lot_1[[#This Row],[Type]]="Details", IF(INDEX(TBL_008_Qs_Lot_1[App_sub-qs], MATCH(1, (TBL_SQ_Qs_Lot_1[[#This Row],[Q. No.]]=TBL_008_Qs_Lot_1[Q.])*("Question"=TBL_008_Qs_Lot_1[Type]),0))&lt;&gt;"", INDEX(TBL_008_Qs_Lot_1[App_sub-qs], MATCH(1, (TBL_SQ_Qs_Lot_1[[#This Row],[Q. No.]]=TBL_008_Qs_Lot_1[Q.])*("Question"=TBL_008_Qs_Lot_1[Type]),0)), ""), "")</f>
        <v/>
      </c>
      <c r="K46" s="364" t="str">
        <f t="array" ref="K46">IF(TBL_SQ_Qs_Lot_1[[#This Row],[Type]]="Details", INDEX(TBL_008_Qs_Lot_1[Weighting], MATCH(1, (TBL_SQ_Qs_Lot_1[[#This Row],[Q. No.]]=TBL_008_Qs_Lot_1[Q.])*("Question"=TBL_008_Qs_Lot_1[Type]),0)), "")</f>
        <v/>
      </c>
      <c r="L46" s="296" t="str">
        <f>IF($H$4="No", "Shade", IF(OR(TBL_SQ_Qs_Lot_1[[#This Row],[Question]]="Not used
", AND(TBL_SQ_Qs_Lot_1[[#This Row],[Type]]="Details", TBL_SQ_Qs_Lot_1[[#This Row],[Subs]]=0)), "Shade", ""))</f>
        <v>Shade</v>
      </c>
    </row>
    <row r="47" spans="1:12" ht="28" hidden="1">
      <c r="A47" s="239" t="s">
        <v>1122</v>
      </c>
      <c r="B47" s="84" t="str">
        <f t="array" ref="B4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7" s="234"/>
      <c r="D47" s="297" t="str">
        <f>IF(TBL_SQ_Qs_Lot_1[[#This Row],[Type]]="Question", IF(OR(TBL_SQ_Qs_Lot_1[[#This Row],[Shade?]]="Shade", TBL_SQ_Qs_Lot_1[[#This Row],[Question]]="Question not used
"), "", IF(TBL_SQ_Qs_Lot_1[[#This Row],[Response]]&lt;&gt;"", "Done", "Add")), "")</f>
        <v/>
      </c>
      <c r="E47" s="408" t="s">
        <v>779</v>
      </c>
      <c r="F47" s="364" t="str">
        <f t="array" ref="F47">IF(TBL_SQ_Qs_Lot_1[[#This Row],[Type]]="Details", INDEX(TBL_008_Qs_Lot_1[Word limit], MATCH(1, (TBL_SQ_Qs_Lot_1[[#This Row],[Q. No.]]=TBL_008_Qs_Lot_1[Q.])*("Question"=TBL_008_Qs_Lot_1[Type]),0)), "")</f>
        <v/>
      </c>
      <c r="G47" s="364" t="str">
        <f t="array" ref="G47">IF(TBL_SQ_Qs_Lot_1[[#This Row],[Type]]="Details", INDEX(TBL_008_Qs_Lot_1[Max score], MATCH(1, (TBL_SQ_Qs_Lot_1[[#This Row],[Q. No.]]=TBL_008_Qs_Lot_1[Q.])*("Question"=TBL_008_Qs_Lot_1[Type]),0)), "")</f>
        <v/>
      </c>
      <c r="H47" s="364" t="str">
        <f t="array" ref="H47">IF(TBL_SQ_Qs_Lot_1[[#This Row],[Type]]="Details", INDEX(TBL_008_Qs_Lot_1[No.subs], MATCH(1, (TBL_SQ_Qs_Lot_1[[#This Row],[Q. No.]]=TBL_008_Qs_Lot_1[Q.])*("Question"=TBL_008_Qs_Lot_1[Type]),0)), "")</f>
        <v/>
      </c>
      <c r="I47" s="296" t="str">
        <f t="array" ref="I47">IF(TBL_SQ_Qs_Lot_1[[#This Row],[Type]]="Details", IF(INDEX(TBL_008_Qs_Lot_1[App_pages], MATCH(1, (TBL_SQ_Qs_Lot_1[[#This Row],[Q. No.]]=TBL_008_Qs_Lot_1[Q.])*("Question"=TBL_008_Qs_Lot_1[Type]),0))&lt;&gt;"", INDEX(TBL_008_Qs_Lot_1[App_pages], MATCH(1, (TBL_SQ_Qs_Lot_1[[#This Row],[Q. No.]]=TBL_008_Qs_Lot_1[Q.])*("Question"=TBL_008_Qs_Lot_1[Type]),0)), ""), "")</f>
        <v/>
      </c>
      <c r="J47" s="296" t="str">
        <f t="array" ref="J47">IF(TBL_SQ_Qs_Lot_1[[#This Row],[Type]]="Details", IF(INDEX(TBL_008_Qs_Lot_1[App_sub-qs], MATCH(1, (TBL_SQ_Qs_Lot_1[[#This Row],[Q. No.]]=TBL_008_Qs_Lot_1[Q.])*("Question"=TBL_008_Qs_Lot_1[Type]),0))&lt;&gt;"", INDEX(TBL_008_Qs_Lot_1[App_sub-qs], MATCH(1, (TBL_SQ_Qs_Lot_1[[#This Row],[Q. No.]]=TBL_008_Qs_Lot_1[Q.])*("Question"=TBL_008_Qs_Lot_1[Type]),0)), ""), "")</f>
        <v/>
      </c>
      <c r="K47" s="364" t="str">
        <f t="array" ref="K47">IF(TBL_SQ_Qs_Lot_1[[#This Row],[Type]]="Details", INDEX(TBL_008_Qs_Lot_1[Weighting], MATCH(1, (TBL_SQ_Qs_Lot_1[[#This Row],[Q. No.]]=TBL_008_Qs_Lot_1[Q.])*("Question"=TBL_008_Qs_Lot_1[Type]),0)), "")</f>
        <v/>
      </c>
      <c r="L47" s="296" t="str">
        <f>IF($H$4="No", "Shade", IF(OR(TBL_SQ_Qs_Lot_1[[#This Row],[Question]]="Not used
", AND(TBL_SQ_Qs_Lot_1[[#This Row],[Type]]="Details", TBL_SQ_Qs_Lot_1[[#This Row],[Subs]]=0)), "Shade", ""))</f>
        <v>Shade</v>
      </c>
    </row>
    <row r="48" spans="1:12" ht="28" hidden="1">
      <c r="A48" s="239" t="s">
        <v>1123</v>
      </c>
      <c r="B48" s="84" t="str">
        <f t="array" ref="B4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48" s="234"/>
      <c r="D48" s="297" t="str">
        <f>IF(TBL_SQ_Qs_Lot_1[[#This Row],[Type]]="Question", IF(OR(TBL_SQ_Qs_Lot_1[[#This Row],[Shade?]]="Shade", TBL_SQ_Qs_Lot_1[[#This Row],[Question]]="Question not used
"), "", IF(TBL_SQ_Qs_Lot_1[[#This Row],[Response]]&lt;&gt;"", "Done", "Add")), "")</f>
        <v/>
      </c>
      <c r="E48" s="408" t="s">
        <v>779</v>
      </c>
      <c r="F48" s="364" t="str">
        <f t="array" ref="F48">IF(TBL_SQ_Qs_Lot_1[[#This Row],[Type]]="Details", INDEX(TBL_008_Qs_Lot_1[Word limit], MATCH(1, (TBL_SQ_Qs_Lot_1[[#This Row],[Q. No.]]=TBL_008_Qs_Lot_1[Q.])*("Question"=TBL_008_Qs_Lot_1[Type]),0)), "")</f>
        <v/>
      </c>
      <c r="G48" s="364" t="str">
        <f t="array" ref="G48">IF(TBL_SQ_Qs_Lot_1[[#This Row],[Type]]="Details", INDEX(TBL_008_Qs_Lot_1[Max score], MATCH(1, (TBL_SQ_Qs_Lot_1[[#This Row],[Q. No.]]=TBL_008_Qs_Lot_1[Q.])*("Question"=TBL_008_Qs_Lot_1[Type]),0)), "")</f>
        <v/>
      </c>
      <c r="H48" s="364" t="str">
        <f t="array" ref="H48">IF(TBL_SQ_Qs_Lot_1[[#This Row],[Type]]="Details", INDEX(TBL_008_Qs_Lot_1[No.subs], MATCH(1, (TBL_SQ_Qs_Lot_1[[#This Row],[Q. No.]]=TBL_008_Qs_Lot_1[Q.])*("Question"=TBL_008_Qs_Lot_1[Type]),0)), "")</f>
        <v/>
      </c>
      <c r="I48" s="296" t="str">
        <f t="array" ref="I48">IF(TBL_SQ_Qs_Lot_1[[#This Row],[Type]]="Details", IF(INDEX(TBL_008_Qs_Lot_1[App_pages], MATCH(1, (TBL_SQ_Qs_Lot_1[[#This Row],[Q. No.]]=TBL_008_Qs_Lot_1[Q.])*("Question"=TBL_008_Qs_Lot_1[Type]),0))&lt;&gt;"", INDEX(TBL_008_Qs_Lot_1[App_pages], MATCH(1, (TBL_SQ_Qs_Lot_1[[#This Row],[Q. No.]]=TBL_008_Qs_Lot_1[Q.])*("Question"=TBL_008_Qs_Lot_1[Type]),0)), ""), "")</f>
        <v/>
      </c>
      <c r="J48" s="296" t="str">
        <f t="array" ref="J48">IF(TBL_SQ_Qs_Lot_1[[#This Row],[Type]]="Details", IF(INDEX(TBL_008_Qs_Lot_1[App_sub-qs], MATCH(1, (TBL_SQ_Qs_Lot_1[[#This Row],[Q. No.]]=TBL_008_Qs_Lot_1[Q.])*("Question"=TBL_008_Qs_Lot_1[Type]),0))&lt;&gt;"", INDEX(TBL_008_Qs_Lot_1[App_sub-qs], MATCH(1, (TBL_SQ_Qs_Lot_1[[#This Row],[Q. No.]]=TBL_008_Qs_Lot_1[Q.])*("Question"=TBL_008_Qs_Lot_1[Type]),0)), ""), "")</f>
        <v/>
      </c>
      <c r="K48" s="364" t="str">
        <f t="array" ref="K48">IF(TBL_SQ_Qs_Lot_1[[#This Row],[Type]]="Details", INDEX(TBL_008_Qs_Lot_1[Weighting], MATCH(1, (TBL_SQ_Qs_Lot_1[[#This Row],[Q. No.]]=TBL_008_Qs_Lot_1[Q.])*("Question"=TBL_008_Qs_Lot_1[Type]),0)), "")</f>
        <v/>
      </c>
      <c r="L48" s="296" t="str">
        <f>IF($H$4="No", "Shade", IF(OR(TBL_SQ_Qs_Lot_1[[#This Row],[Question]]="Not used
", AND(TBL_SQ_Qs_Lot_1[[#This Row],[Type]]="Details", TBL_SQ_Qs_Lot_1[[#This Row],[Subs]]=0)), "Shade", ""))</f>
        <v>Shade</v>
      </c>
    </row>
    <row r="49" spans="1:12" ht="56">
      <c r="A49" s="237" t="s">
        <v>654</v>
      </c>
      <c r="B49" s="231" t="str">
        <f t="array" ref="B4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If you cannot provide at least one example for Q6.1, in no more than 500 words, please provide examples in the past but not under a contract.
</v>
      </c>
      <c r="C49" s="409"/>
      <c r="D49" s="298" t="str">
        <f>IF(TBL_SQ_Qs_Lot_1[[#This Row],[Type]]="Question", IF(OR(TBL_SQ_Qs_Lot_1[[#This Row],[Shade?]]="Shade", TBL_SQ_Qs_Lot_1[[#This Row],[Question]]="Question not used
"), "", IF(TBL_SQ_Qs_Lot_1[[#This Row],[Response]]&lt;&gt;"", "Done", "Add")), "")</f>
        <v>Add</v>
      </c>
      <c r="E49" s="410" t="s">
        <v>209</v>
      </c>
      <c r="F49" s="313" t="str">
        <f t="array" ref="F49">IF(TBL_SQ_Qs_Lot_1[[#This Row],[Type]]="Details", INDEX(TBL_008_Qs_Lot_1[Word limit], MATCH(1, (TBL_SQ_Qs_Lot_1[[#This Row],[Q. No.]]=TBL_008_Qs_Lot_1[Q.])*("Question"=TBL_008_Qs_Lot_1[Type]),0)), "")</f>
        <v/>
      </c>
      <c r="G49" s="313" t="str">
        <f t="array" ref="G49">IF(TBL_SQ_Qs_Lot_1[[#This Row],[Type]]="Details", INDEX(TBL_008_Qs_Lot_1[Max score], MATCH(1, (TBL_SQ_Qs_Lot_1[[#This Row],[Q. No.]]=TBL_008_Qs_Lot_1[Q.])*("Question"=TBL_008_Qs_Lot_1[Type]),0)), "")</f>
        <v/>
      </c>
      <c r="H49" s="313" t="str">
        <f t="array" ref="H49">IF(TBL_SQ_Qs_Lot_1[[#This Row],[Type]]="Details", INDEX(TBL_008_Qs_Lot_1[No.subs], MATCH(1, (TBL_SQ_Qs_Lot_1[[#This Row],[Q. No.]]=TBL_008_Qs_Lot_1[Q.])*("Question"=TBL_008_Qs_Lot_1[Type]),0)), "")</f>
        <v/>
      </c>
      <c r="I49" s="296" t="str">
        <f t="array" ref="I49">IF(TBL_SQ_Qs_Lot_1[[#This Row],[Type]]="Details", IF(INDEX(TBL_008_Qs_Lot_1[App_pages], MATCH(1, (TBL_SQ_Qs_Lot_1[[#This Row],[Q. No.]]=TBL_008_Qs_Lot_1[Q.])*("Question"=TBL_008_Qs_Lot_1[Type]),0))&lt;&gt;"", INDEX(TBL_008_Qs_Lot_1[App_pages], MATCH(1, (TBL_SQ_Qs_Lot_1[[#This Row],[Q. No.]]=TBL_008_Qs_Lot_1[Q.])*("Question"=TBL_008_Qs_Lot_1[Type]),0)), ""), "")</f>
        <v/>
      </c>
      <c r="J49" s="296" t="str">
        <f t="array" ref="J49">IF(TBL_SQ_Qs_Lot_1[[#This Row],[Type]]="Details", IF(INDEX(TBL_008_Qs_Lot_1[App_sub-qs], MATCH(1, (TBL_SQ_Qs_Lot_1[[#This Row],[Q. No.]]=TBL_008_Qs_Lot_1[Q.])*("Question"=TBL_008_Qs_Lot_1[Type]),0))&lt;&gt;"", INDEX(TBL_008_Qs_Lot_1[App_sub-qs], MATCH(1, (TBL_SQ_Qs_Lot_1[[#This Row],[Q. No.]]=TBL_008_Qs_Lot_1[Q.])*("Question"=TBL_008_Qs_Lot_1[Type]),0)), ""), "")</f>
        <v/>
      </c>
      <c r="K49" s="313" t="str">
        <f t="array" ref="K49">IF(TBL_SQ_Qs_Lot_1[[#This Row],[Type]]="Details", INDEX(TBL_008_Qs_Lot_1[Weighting], MATCH(1, (TBL_SQ_Qs_Lot_1[[#This Row],[Q. No.]]=TBL_008_Qs_Lot_1[Q.])*("Question"=TBL_008_Qs_Lot_1[Type]),0)), "")</f>
        <v/>
      </c>
      <c r="L49" s="296" t="str">
        <f>IF($H$4="No", "Shade", IF(OR(TBL_SQ_Qs_Lot_1[[#This Row],[Question]]="Not used
", AND(TBL_SQ_Qs_Lot_1[[#This Row],[Type]]="Details", TBL_SQ_Qs_Lot_1[[#This Row],[Subs]]=0)), "Shade", ""))</f>
        <v/>
      </c>
    </row>
    <row r="50" spans="1:12" ht="42">
      <c r="A50" s="412" t="s">
        <v>654</v>
      </c>
      <c r="B50" s="220" t="str">
        <f t="array" ref="B5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 $P$20, ".
"))</f>
        <v xml:space="preserve">The response to Q6.3 should have a word count of not more than 500 words.
</v>
      </c>
      <c r="C50" s="234"/>
      <c r="D50" s="366" t="str">
        <f>IF(TBL_SQ_Qs_Lot_1[[#This Row],[Type]]="Question", IF(OR(TBL_SQ_Qs_Lot_1[[#This Row],[Shade?]]="Shade", TBL_SQ_Qs_Lot_1[[#This Row],[Question]]="Question not used
"), "", IF(TBL_SQ_Qs_Lot_1[[#This Row],[Response]]&lt;&gt;"", "Done", "Add")), "")</f>
        <v/>
      </c>
      <c r="E50" s="408" t="s">
        <v>798</v>
      </c>
      <c r="F50" s="364">
        <f t="array" ref="F50">IF(TBL_SQ_Qs_Lot_1[[#This Row],[Type]]="Details", INDEX(TBL_008_Qs_Lot_1[Word limit], MATCH(1, (TBL_SQ_Qs_Lot_1[[#This Row],[Q. No.]]=TBL_008_Qs_Lot_1[Q.])*("Question"=TBL_008_Qs_Lot_1[Type]),0)), "")</f>
        <v>500</v>
      </c>
      <c r="G50" s="364">
        <f t="array" ref="G50">IF(TBL_SQ_Qs_Lot_1[[#This Row],[Type]]="Details", INDEX(TBL_008_Qs_Lot_1[Max score], MATCH(1, (TBL_SQ_Qs_Lot_1[[#This Row],[Q. No.]]=TBL_008_Qs_Lot_1[Q.])*("Question"=TBL_008_Qs_Lot_1[Type]),0)), "")</f>
        <v>5</v>
      </c>
      <c r="H50" s="364">
        <f t="array" ref="H50">IF(TBL_SQ_Qs_Lot_1[[#This Row],[Type]]="Details", INDEX(TBL_008_Qs_Lot_1[No.subs], MATCH(1, (TBL_SQ_Qs_Lot_1[[#This Row],[Q. No.]]=TBL_008_Qs_Lot_1[Q.])*("Question"=TBL_008_Qs_Lot_1[Type]),0)), "")</f>
        <v>1</v>
      </c>
      <c r="I50" s="296" t="str">
        <f t="array" ref="I50">IF(TBL_SQ_Qs_Lot_1[[#This Row],[Type]]="Details", IF(INDEX(TBL_008_Qs_Lot_1[App_pages], MATCH(1, (TBL_SQ_Qs_Lot_1[[#This Row],[Q. No.]]=TBL_008_Qs_Lot_1[Q.])*("Question"=TBL_008_Qs_Lot_1[Type]),0))&lt;&gt;"", INDEX(TBL_008_Qs_Lot_1[App_pages], MATCH(1, (TBL_SQ_Qs_Lot_1[[#This Row],[Q. No.]]=TBL_008_Qs_Lot_1[Q.])*("Question"=TBL_008_Qs_Lot_1[Type]),0)), ""), "")</f>
        <v/>
      </c>
      <c r="J50" s="296" t="str">
        <f t="array" ref="J50">IF(TBL_SQ_Qs_Lot_1[[#This Row],[Type]]="Details", IF(INDEX(TBL_008_Qs_Lot_1[App_sub-qs], MATCH(1, (TBL_SQ_Qs_Lot_1[[#This Row],[Q. No.]]=TBL_008_Qs_Lot_1[Q.])*("Question"=TBL_008_Qs_Lot_1[Type]),0))&lt;&gt;"", INDEX(TBL_008_Qs_Lot_1[App_sub-qs], MATCH(1, (TBL_SQ_Qs_Lot_1[[#This Row],[Q. No.]]=TBL_008_Qs_Lot_1[Q.])*("Question"=TBL_008_Qs_Lot_1[Type]),0)), ""), "")</f>
        <v/>
      </c>
      <c r="K50" s="364" t="str">
        <f t="array" ref="K50">IF(TBL_SQ_Qs_Lot_1[[#This Row],[Type]]="Details", INDEX(TBL_008_Qs_Lot_1[Weighting], MATCH(1, (TBL_SQ_Qs_Lot_1[[#This Row],[Q. No.]]=TBL_008_Qs_Lot_1[Q.])*("Question"=TBL_008_Qs_Lot_1[Type]),0)), "")</f>
        <v>N/A</v>
      </c>
      <c r="L50" s="296" t="str">
        <f>IF($H$4="No", "Shade", IF(OR(TBL_SQ_Qs_Lot_1[[#This Row],[Question]]="Not used
", AND(TBL_SQ_Qs_Lot_1[[#This Row],[Type]]="Details", TBL_SQ_Qs_Lot_1[[#This Row],[Subs]]=0)), "Shade", ""))</f>
        <v/>
      </c>
    </row>
    <row r="51" spans="1:12" ht="42">
      <c r="A51" s="239" t="s">
        <v>1124</v>
      </c>
      <c r="B51" s="84" t="str">
        <f t="array" ref="B5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Details and brief description of the services delivered including evidence as to your technical capability in this market
</v>
      </c>
      <c r="C51" s="234"/>
      <c r="D51" s="404" t="str">
        <f>IF(TBL_SQ_Qs_Lot_1[[#This Row],[Type]]="Question", IF(OR(TBL_SQ_Qs_Lot_1[[#This Row],[Shade?]]="Shade", TBL_SQ_Qs_Lot_1[[#This Row],[Question]]="Question not used
"), "", IF(TBL_SQ_Qs_Lot_1[[#This Row],[Response]]&lt;&gt;"", "Done", "Add")), "")</f>
        <v/>
      </c>
      <c r="E51" s="411" t="s">
        <v>779</v>
      </c>
      <c r="F51" s="405" t="str">
        <f t="array" ref="F51">IF(TBL_SQ_Qs_Lot_1[[#This Row],[Type]]="Details", INDEX(TBL_008_Qs_Lot_1[Word limit], MATCH(1, (TBL_SQ_Qs_Lot_1[[#This Row],[Q. No.]]=TBL_008_Qs_Lot_1[Q.])*("Question"=TBL_008_Qs_Lot_1[Type]),0)), "")</f>
        <v/>
      </c>
      <c r="G51" s="405" t="str">
        <f t="array" ref="G51">IF(TBL_SQ_Qs_Lot_1[[#This Row],[Type]]="Details", INDEX(TBL_008_Qs_Lot_1[Max score], MATCH(1, (TBL_SQ_Qs_Lot_1[[#This Row],[Q. No.]]=TBL_008_Qs_Lot_1[Q.])*("Question"=TBL_008_Qs_Lot_1[Type]),0)), "")</f>
        <v/>
      </c>
      <c r="H51" s="405" t="str">
        <f t="array" ref="H51">IF(TBL_SQ_Qs_Lot_1[[#This Row],[Type]]="Details", INDEX(TBL_008_Qs_Lot_1[No.subs], MATCH(1, (TBL_SQ_Qs_Lot_1[[#This Row],[Q. No.]]=TBL_008_Qs_Lot_1[Q.])*("Question"=TBL_008_Qs_Lot_1[Type]),0)), "")</f>
        <v/>
      </c>
      <c r="I51" s="296" t="str">
        <f t="array" ref="I51">IF(TBL_SQ_Qs_Lot_1[[#This Row],[Type]]="Details", IF(INDEX(TBL_008_Qs_Lot_1[App_pages], MATCH(1, (TBL_SQ_Qs_Lot_1[[#This Row],[Q. No.]]=TBL_008_Qs_Lot_1[Q.])*("Question"=TBL_008_Qs_Lot_1[Type]),0))&lt;&gt;"", INDEX(TBL_008_Qs_Lot_1[App_pages], MATCH(1, (TBL_SQ_Qs_Lot_1[[#This Row],[Q. No.]]=TBL_008_Qs_Lot_1[Q.])*("Question"=TBL_008_Qs_Lot_1[Type]),0)), ""), "")</f>
        <v/>
      </c>
      <c r="J51" s="296" t="str">
        <f t="array" ref="J51">IF(TBL_SQ_Qs_Lot_1[[#This Row],[Type]]="Details", IF(INDEX(TBL_008_Qs_Lot_1[App_sub-qs], MATCH(1, (TBL_SQ_Qs_Lot_1[[#This Row],[Q. No.]]=TBL_008_Qs_Lot_1[Q.])*("Question"=TBL_008_Qs_Lot_1[Type]),0))&lt;&gt;"", INDEX(TBL_008_Qs_Lot_1[App_sub-qs], MATCH(1, (TBL_SQ_Qs_Lot_1[[#This Row],[Q. No.]]=TBL_008_Qs_Lot_1[Q.])*("Question"=TBL_008_Qs_Lot_1[Type]),0)), ""), "")</f>
        <v/>
      </c>
      <c r="K51" s="405" t="str">
        <f t="array" ref="K51">IF(TBL_SQ_Qs_Lot_1[[#This Row],[Type]]="Details", INDEX(TBL_008_Qs_Lot_1[Weighting], MATCH(1, (TBL_SQ_Qs_Lot_1[[#This Row],[Q. No.]]=TBL_008_Qs_Lot_1[Q.])*("Question"=TBL_008_Qs_Lot_1[Type]),0)), "")</f>
        <v/>
      </c>
      <c r="L51" s="296" t="str">
        <f>IF($H$4="No", "Shade", IF(OR(TBL_SQ_Qs_Lot_1[[#This Row],[Question]]="Not used
", AND(TBL_SQ_Qs_Lot_1[[#This Row],[Type]]="Details", TBL_SQ_Qs_Lot_1[[#This Row],[Subs]]=0)), "Shade", ""))</f>
        <v/>
      </c>
    </row>
    <row r="52" spans="1:12" ht="28" hidden="1">
      <c r="A52" s="239" t="s">
        <v>1125</v>
      </c>
      <c r="B52" s="84" t="str">
        <f t="array" ref="B5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2" s="234"/>
      <c r="D52" s="366" t="str">
        <f>IF(TBL_SQ_Qs_Lot_1[[#This Row],[Type]]="Question", IF(OR(TBL_SQ_Qs_Lot_1[[#This Row],[Shade?]]="Shade", TBL_SQ_Qs_Lot_1[[#This Row],[Question]]="Question not used
"), "", IF(TBL_SQ_Qs_Lot_1[[#This Row],[Response]]&lt;&gt;"", "Done", "Add")), "")</f>
        <v/>
      </c>
      <c r="E52" s="408" t="s">
        <v>779</v>
      </c>
      <c r="F52" s="364" t="str">
        <f t="array" ref="F52">IF(TBL_SQ_Qs_Lot_1[[#This Row],[Type]]="Details", INDEX(TBL_008_Qs_Lot_1[Word limit], MATCH(1, (TBL_SQ_Qs_Lot_1[[#This Row],[Q. No.]]=TBL_008_Qs_Lot_1[Q.])*("Question"=TBL_008_Qs_Lot_1[Type]),0)), "")</f>
        <v/>
      </c>
      <c r="G52" s="364" t="str">
        <f t="array" ref="G52">IF(TBL_SQ_Qs_Lot_1[[#This Row],[Type]]="Details", INDEX(TBL_008_Qs_Lot_1[Max score], MATCH(1, (TBL_SQ_Qs_Lot_1[[#This Row],[Q. No.]]=TBL_008_Qs_Lot_1[Q.])*("Question"=TBL_008_Qs_Lot_1[Type]),0)), "")</f>
        <v/>
      </c>
      <c r="H52" s="364" t="str">
        <f t="array" ref="H52">IF(TBL_SQ_Qs_Lot_1[[#This Row],[Type]]="Details", INDEX(TBL_008_Qs_Lot_1[No.subs], MATCH(1, (TBL_SQ_Qs_Lot_1[[#This Row],[Q. No.]]=TBL_008_Qs_Lot_1[Q.])*("Question"=TBL_008_Qs_Lot_1[Type]),0)), "")</f>
        <v/>
      </c>
      <c r="I52" s="296" t="str">
        <f t="array" ref="I52">IF(TBL_SQ_Qs_Lot_1[[#This Row],[Type]]="Details", IF(INDEX(TBL_008_Qs_Lot_1[App_pages], MATCH(1, (TBL_SQ_Qs_Lot_1[[#This Row],[Q. No.]]=TBL_008_Qs_Lot_1[Q.])*("Question"=TBL_008_Qs_Lot_1[Type]),0))&lt;&gt;"", INDEX(TBL_008_Qs_Lot_1[App_pages], MATCH(1, (TBL_SQ_Qs_Lot_1[[#This Row],[Q. No.]]=TBL_008_Qs_Lot_1[Q.])*("Question"=TBL_008_Qs_Lot_1[Type]),0)), ""), "")</f>
        <v/>
      </c>
      <c r="J52" s="296" t="str">
        <f t="array" ref="J52">IF(TBL_SQ_Qs_Lot_1[[#This Row],[Type]]="Details", IF(INDEX(TBL_008_Qs_Lot_1[App_sub-qs], MATCH(1, (TBL_SQ_Qs_Lot_1[[#This Row],[Q. No.]]=TBL_008_Qs_Lot_1[Q.])*("Question"=TBL_008_Qs_Lot_1[Type]),0))&lt;&gt;"", INDEX(TBL_008_Qs_Lot_1[App_sub-qs], MATCH(1, (TBL_SQ_Qs_Lot_1[[#This Row],[Q. No.]]=TBL_008_Qs_Lot_1[Q.])*("Question"=TBL_008_Qs_Lot_1[Type]),0)), ""), "")</f>
        <v/>
      </c>
      <c r="K52" s="364" t="str">
        <f t="array" ref="K52">IF(TBL_SQ_Qs_Lot_1[[#This Row],[Type]]="Details", INDEX(TBL_008_Qs_Lot_1[Weighting], MATCH(1, (TBL_SQ_Qs_Lot_1[[#This Row],[Q. No.]]=TBL_008_Qs_Lot_1[Q.])*("Question"=TBL_008_Qs_Lot_1[Type]),0)), "")</f>
        <v/>
      </c>
      <c r="L52" s="296" t="str">
        <f>IF($H$4="No", "Shade", IF(OR(TBL_SQ_Qs_Lot_1[[#This Row],[Question]]="Not used
", AND(TBL_SQ_Qs_Lot_1[[#This Row],[Type]]="Details", TBL_SQ_Qs_Lot_1[[#This Row],[Subs]]=0)), "Shade", ""))</f>
        <v>Shade</v>
      </c>
    </row>
    <row r="53" spans="1:12" ht="28" hidden="1">
      <c r="A53" s="239" t="s">
        <v>1126</v>
      </c>
      <c r="B53" s="84" t="str">
        <f t="array" ref="B5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3" s="234"/>
      <c r="D53" s="366" t="str">
        <f>IF(TBL_SQ_Qs_Lot_1[[#This Row],[Type]]="Question", IF(OR(TBL_SQ_Qs_Lot_1[[#This Row],[Shade?]]="Shade", TBL_SQ_Qs_Lot_1[[#This Row],[Question]]="Question not used
"), "", IF(TBL_SQ_Qs_Lot_1[[#This Row],[Response]]&lt;&gt;"", "Done", "Add")), "")</f>
        <v/>
      </c>
      <c r="E53" s="408" t="s">
        <v>779</v>
      </c>
      <c r="F53" s="364" t="str">
        <f t="array" ref="F53">IF(TBL_SQ_Qs_Lot_1[[#This Row],[Type]]="Details", INDEX(TBL_008_Qs_Lot_1[Word limit], MATCH(1, (TBL_SQ_Qs_Lot_1[[#This Row],[Q. No.]]=TBL_008_Qs_Lot_1[Q.])*("Question"=TBL_008_Qs_Lot_1[Type]),0)), "")</f>
        <v/>
      </c>
      <c r="G53" s="364" t="str">
        <f t="array" ref="G53">IF(TBL_SQ_Qs_Lot_1[[#This Row],[Type]]="Details", INDEX(TBL_008_Qs_Lot_1[Max score], MATCH(1, (TBL_SQ_Qs_Lot_1[[#This Row],[Q. No.]]=TBL_008_Qs_Lot_1[Q.])*("Question"=TBL_008_Qs_Lot_1[Type]),0)), "")</f>
        <v/>
      </c>
      <c r="H53" s="364" t="str">
        <f t="array" ref="H53">IF(TBL_SQ_Qs_Lot_1[[#This Row],[Type]]="Details", INDEX(TBL_008_Qs_Lot_1[No.subs], MATCH(1, (TBL_SQ_Qs_Lot_1[[#This Row],[Q. No.]]=TBL_008_Qs_Lot_1[Q.])*("Question"=TBL_008_Qs_Lot_1[Type]),0)), "")</f>
        <v/>
      </c>
      <c r="I53" s="296" t="str">
        <f t="array" ref="I53">IF(TBL_SQ_Qs_Lot_1[[#This Row],[Type]]="Details", IF(INDEX(TBL_008_Qs_Lot_1[App_pages], MATCH(1, (TBL_SQ_Qs_Lot_1[[#This Row],[Q. No.]]=TBL_008_Qs_Lot_1[Q.])*("Question"=TBL_008_Qs_Lot_1[Type]),0))&lt;&gt;"", INDEX(TBL_008_Qs_Lot_1[App_pages], MATCH(1, (TBL_SQ_Qs_Lot_1[[#This Row],[Q. No.]]=TBL_008_Qs_Lot_1[Q.])*("Question"=TBL_008_Qs_Lot_1[Type]),0)), ""), "")</f>
        <v/>
      </c>
      <c r="J53" s="296" t="str">
        <f t="array" ref="J53">IF(TBL_SQ_Qs_Lot_1[[#This Row],[Type]]="Details", IF(INDEX(TBL_008_Qs_Lot_1[App_sub-qs], MATCH(1, (TBL_SQ_Qs_Lot_1[[#This Row],[Q. No.]]=TBL_008_Qs_Lot_1[Q.])*("Question"=TBL_008_Qs_Lot_1[Type]),0))&lt;&gt;"", INDEX(TBL_008_Qs_Lot_1[App_sub-qs], MATCH(1, (TBL_SQ_Qs_Lot_1[[#This Row],[Q. No.]]=TBL_008_Qs_Lot_1[Q.])*("Question"=TBL_008_Qs_Lot_1[Type]),0)), ""), "")</f>
        <v/>
      </c>
      <c r="K53" s="364" t="str">
        <f t="array" ref="K53">IF(TBL_SQ_Qs_Lot_1[[#This Row],[Type]]="Details", INDEX(TBL_008_Qs_Lot_1[Weighting], MATCH(1, (TBL_SQ_Qs_Lot_1[[#This Row],[Q. No.]]=TBL_008_Qs_Lot_1[Q.])*("Question"=TBL_008_Qs_Lot_1[Type]),0)), "")</f>
        <v/>
      </c>
      <c r="L53" s="296" t="str">
        <f>IF($H$4="No", "Shade", IF(OR(TBL_SQ_Qs_Lot_1[[#This Row],[Question]]="Not used
", AND(TBL_SQ_Qs_Lot_1[[#This Row],[Type]]="Details", TBL_SQ_Qs_Lot_1[[#This Row],[Subs]]=0)), "Shade", ""))</f>
        <v>Shade</v>
      </c>
    </row>
    <row r="54" spans="1:12" ht="28" hidden="1">
      <c r="A54" s="239" t="s">
        <v>1127</v>
      </c>
      <c r="B54" s="84" t="str">
        <f t="array" ref="B5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4" s="234"/>
      <c r="D54" s="366" t="str">
        <f>IF(TBL_SQ_Qs_Lot_1[[#This Row],[Type]]="Question", IF(OR(TBL_SQ_Qs_Lot_1[[#This Row],[Shade?]]="Shade", TBL_SQ_Qs_Lot_1[[#This Row],[Question]]="Question not used
"), "", IF(TBL_SQ_Qs_Lot_1[[#This Row],[Response]]&lt;&gt;"", "Done", "Add")), "")</f>
        <v/>
      </c>
      <c r="E54" s="408" t="s">
        <v>779</v>
      </c>
      <c r="F54" s="364" t="str">
        <f t="array" ref="F54">IF(TBL_SQ_Qs_Lot_1[[#This Row],[Type]]="Details", INDEX(TBL_008_Qs_Lot_1[Word limit], MATCH(1, (TBL_SQ_Qs_Lot_1[[#This Row],[Q. No.]]=TBL_008_Qs_Lot_1[Q.])*("Question"=TBL_008_Qs_Lot_1[Type]),0)), "")</f>
        <v/>
      </c>
      <c r="G54" s="364" t="str">
        <f t="array" ref="G54">IF(TBL_SQ_Qs_Lot_1[[#This Row],[Type]]="Details", INDEX(TBL_008_Qs_Lot_1[Max score], MATCH(1, (TBL_SQ_Qs_Lot_1[[#This Row],[Q. No.]]=TBL_008_Qs_Lot_1[Q.])*("Question"=TBL_008_Qs_Lot_1[Type]),0)), "")</f>
        <v/>
      </c>
      <c r="H54" s="364" t="str">
        <f t="array" ref="H54">IF(TBL_SQ_Qs_Lot_1[[#This Row],[Type]]="Details", INDEX(TBL_008_Qs_Lot_1[No.subs], MATCH(1, (TBL_SQ_Qs_Lot_1[[#This Row],[Q. No.]]=TBL_008_Qs_Lot_1[Q.])*("Question"=TBL_008_Qs_Lot_1[Type]),0)), "")</f>
        <v/>
      </c>
      <c r="I54" s="296" t="str">
        <f t="array" ref="I54">IF(TBL_SQ_Qs_Lot_1[[#This Row],[Type]]="Details", IF(INDEX(TBL_008_Qs_Lot_1[App_pages], MATCH(1, (TBL_SQ_Qs_Lot_1[[#This Row],[Q. No.]]=TBL_008_Qs_Lot_1[Q.])*("Question"=TBL_008_Qs_Lot_1[Type]),0))&lt;&gt;"", INDEX(TBL_008_Qs_Lot_1[App_pages], MATCH(1, (TBL_SQ_Qs_Lot_1[[#This Row],[Q. No.]]=TBL_008_Qs_Lot_1[Q.])*("Question"=TBL_008_Qs_Lot_1[Type]),0)), ""), "")</f>
        <v/>
      </c>
      <c r="J54" s="296" t="str">
        <f t="array" ref="J54">IF(TBL_SQ_Qs_Lot_1[[#This Row],[Type]]="Details", IF(INDEX(TBL_008_Qs_Lot_1[App_sub-qs], MATCH(1, (TBL_SQ_Qs_Lot_1[[#This Row],[Q. No.]]=TBL_008_Qs_Lot_1[Q.])*("Question"=TBL_008_Qs_Lot_1[Type]),0))&lt;&gt;"", INDEX(TBL_008_Qs_Lot_1[App_sub-qs], MATCH(1, (TBL_SQ_Qs_Lot_1[[#This Row],[Q. No.]]=TBL_008_Qs_Lot_1[Q.])*("Question"=TBL_008_Qs_Lot_1[Type]),0)), ""), "")</f>
        <v/>
      </c>
      <c r="K54" s="364" t="str">
        <f t="array" ref="K54">IF(TBL_SQ_Qs_Lot_1[[#This Row],[Type]]="Details", INDEX(TBL_008_Qs_Lot_1[Weighting], MATCH(1, (TBL_SQ_Qs_Lot_1[[#This Row],[Q. No.]]=TBL_008_Qs_Lot_1[Q.])*("Question"=TBL_008_Qs_Lot_1[Type]),0)), "")</f>
        <v/>
      </c>
      <c r="L54" s="296" t="str">
        <f>IF($H$4="No", "Shade", IF(OR(TBL_SQ_Qs_Lot_1[[#This Row],[Question]]="Not used
", AND(TBL_SQ_Qs_Lot_1[[#This Row],[Type]]="Details", TBL_SQ_Qs_Lot_1[[#This Row],[Subs]]=0)), "Shade", ""))</f>
        <v>Shade</v>
      </c>
    </row>
    <row r="55" spans="1:12" ht="28" hidden="1">
      <c r="A55" s="239" t="s">
        <v>1128</v>
      </c>
      <c r="B55" s="84" t="str">
        <f t="array" ref="B5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5" s="234"/>
      <c r="D55" s="366" t="str">
        <f>IF(TBL_SQ_Qs_Lot_1[[#This Row],[Type]]="Question", IF(OR(TBL_SQ_Qs_Lot_1[[#This Row],[Shade?]]="Shade", TBL_SQ_Qs_Lot_1[[#This Row],[Question]]="Question not used
"), "", IF(TBL_SQ_Qs_Lot_1[[#This Row],[Response]]&lt;&gt;"", "Done", "Add")), "")</f>
        <v/>
      </c>
      <c r="E55" s="408" t="s">
        <v>779</v>
      </c>
      <c r="F55" s="364" t="str">
        <f t="array" ref="F55">IF(TBL_SQ_Qs_Lot_1[[#This Row],[Type]]="Details", INDEX(TBL_008_Qs_Lot_1[Word limit], MATCH(1, (TBL_SQ_Qs_Lot_1[[#This Row],[Q. No.]]=TBL_008_Qs_Lot_1[Q.])*("Question"=TBL_008_Qs_Lot_1[Type]),0)), "")</f>
        <v/>
      </c>
      <c r="G55" s="364" t="str">
        <f t="array" ref="G55">IF(TBL_SQ_Qs_Lot_1[[#This Row],[Type]]="Details", INDEX(TBL_008_Qs_Lot_1[Max score], MATCH(1, (TBL_SQ_Qs_Lot_1[[#This Row],[Q. No.]]=TBL_008_Qs_Lot_1[Q.])*("Question"=TBL_008_Qs_Lot_1[Type]),0)), "")</f>
        <v/>
      </c>
      <c r="H55" s="364" t="str">
        <f t="array" ref="H55">IF(TBL_SQ_Qs_Lot_1[[#This Row],[Type]]="Details", INDEX(TBL_008_Qs_Lot_1[No.subs], MATCH(1, (TBL_SQ_Qs_Lot_1[[#This Row],[Q. No.]]=TBL_008_Qs_Lot_1[Q.])*("Question"=TBL_008_Qs_Lot_1[Type]),0)), "")</f>
        <v/>
      </c>
      <c r="I55" s="296" t="str">
        <f t="array" ref="I55">IF(TBL_SQ_Qs_Lot_1[[#This Row],[Type]]="Details", IF(INDEX(TBL_008_Qs_Lot_1[App_pages], MATCH(1, (TBL_SQ_Qs_Lot_1[[#This Row],[Q. No.]]=TBL_008_Qs_Lot_1[Q.])*("Question"=TBL_008_Qs_Lot_1[Type]),0))&lt;&gt;"", INDEX(TBL_008_Qs_Lot_1[App_pages], MATCH(1, (TBL_SQ_Qs_Lot_1[[#This Row],[Q. No.]]=TBL_008_Qs_Lot_1[Q.])*("Question"=TBL_008_Qs_Lot_1[Type]),0)), ""), "")</f>
        <v/>
      </c>
      <c r="J55" s="296" t="str">
        <f t="array" ref="J55">IF(TBL_SQ_Qs_Lot_1[[#This Row],[Type]]="Details", IF(INDEX(TBL_008_Qs_Lot_1[App_sub-qs], MATCH(1, (TBL_SQ_Qs_Lot_1[[#This Row],[Q. No.]]=TBL_008_Qs_Lot_1[Q.])*("Question"=TBL_008_Qs_Lot_1[Type]),0))&lt;&gt;"", INDEX(TBL_008_Qs_Lot_1[App_sub-qs], MATCH(1, (TBL_SQ_Qs_Lot_1[[#This Row],[Q. No.]]=TBL_008_Qs_Lot_1[Q.])*("Question"=TBL_008_Qs_Lot_1[Type]),0)), ""), "")</f>
        <v/>
      </c>
      <c r="K55" s="364" t="str">
        <f t="array" ref="K55">IF(TBL_SQ_Qs_Lot_1[[#This Row],[Type]]="Details", INDEX(TBL_008_Qs_Lot_1[Weighting], MATCH(1, (TBL_SQ_Qs_Lot_1[[#This Row],[Q. No.]]=TBL_008_Qs_Lot_1[Q.])*("Question"=TBL_008_Qs_Lot_1[Type]),0)), "")</f>
        <v/>
      </c>
      <c r="L55" s="296" t="str">
        <f>IF($H$4="No", "Shade", IF(OR(TBL_SQ_Qs_Lot_1[[#This Row],[Question]]="Not used
", AND(TBL_SQ_Qs_Lot_1[[#This Row],[Type]]="Details", TBL_SQ_Qs_Lot_1[[#This Row],[Subs]]=0)), "Shade", ""))</f>
        <v>Shade</v>
      </c>
    </row>
    <row r="56" spans="1:12" ht="28" hidden="1">
      <c r="A56" s="239" t="s">
        <v>1129</v>
      </c>
      <c r="B56" s="84" t="str">
        <f t="array" ref="B5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6" s="234"/>
      <c r="D56" s="366" t="str">
        <f>IF(TBL_SQ_Qs_Lot_1[[#This Row],[Type]]="Question", IF(OR(TBL_SQ_Qs_Lot_1[[#This Row],[Shade?]]="Shade", TBL_SQ_Qs_Lot_1[[#This Row],[Question]]="Question not used
"), "", IF(TBL_SQ_Qs_Lot_1[[#This Row],[Response]]&lt;&gt;"", "Done", "Add")), "")</f>
        <v/>
      </c>
      <c r="E56" s="408" t="s">
        <v>779</v>
      </c>
      <c r="F56" s="364" t="str">
        <f t="array" ref="F56">IF(TBL_SQ_Qs_Lot_1[[#This Row],[Type]]="Details", INDEX(TBL_008_Qs_Lot_1[Word limit], MATCH(1, (TBL_SQ_Qs_Lot_1[[#This Row],[Q. No.]]=TBL_008_Qs_Lot_1[Q.])*("Question"=TBL_008_Qs_Lot_1[Type]),0)), "")</f>
        <v/>
      </c>
      <c r="G56" s="364" t="str">
        <f t="array" ref="G56">IF(TBL_SQ_Qs_Lot_1[[#This Row],[Type]]="Details", INDEX(TBL_008_Qs_Lot_1[Max score], MATCH(1, (TBL_SQ_Qs_Lot_1[[#This Row],[Q. No.]]=TBL_008_Qs_Lot_1[Q.])*("Question"=TBL_008_Qs_Lot_1[Type]),0)), "")</f>
        <v/>
      </c>
      <c r="H56" s="364" t="str">
        <f t="array" ref="H56">IF(TBL_SQ_Qs_Lot_1[[#This Row],[Type]]="Details", INDEX(TBL_008_Qs_Lot_1[No.subs], MATCH(1, (TBL_SQ_Qs_Lot_1[[#This Row],[Q. No.]]=TBL_008_Qs_Lot_1[Q.])*("Question"=TBL_008_Qs_Lot_1[Type]),0)), "")</f>
        <v/>
      </c>
      <c r="I56" s="296" t="str">
        <f t="array" ref="I56">IF(TBL_SQ_Qs_Lot_1[[#This Row],[Type]]="Details", IF(INDEX(TBL_008_Qs_Lot_1[App_pages], MATCH(1, (TBL_SQ_Qs_Lot_1[[#This Row],[Q. No.]]=TBL_008_Qs_Lot_1[Q.])*("Question"=TBL_008_Qs_Lot_1[Type]),0))&lt;&gt;"", INDEX(TBL_008_Qs_Lot_1[App_pages], MATCH(1, (TBL_SQ_Qs_Lot_1[[#This Row],[Q. No.]]=TBL_008_Qs_Lot_1[Q.])*("Question"=TBL_008_Qs_Lot_1[Type]),0)), ""), "")</f>
        <v/>
      </c>
      <c r="J56" s="296" t="str">
        <f t="array" ref="J56">IF(TBL_SQ_Qs_Lot_1[[#This Row],[Type]]="Details", IF(INDEX(TBL_008_Qs_Lot_1[App_sub-qs], MATCH(1, (TBL_SQ_Qs_Lot_1[[#This Row],[Q. No.]]=TBL_008_Qs_Lot_1[Q.])*("Question"=TBL_008_Qs_Lot_1[Type]),0))&lt;&gt;"", INDEX(TBL_008_Qs_Lot_1[App_sub-qs], MATCH(1, (TBL_SQ_Qs_Lot_1[[#This Row],[Q. No.]]=TBL_008_Qs_Lot_1[Q.])*("Question"=TBL_008_Qs_Lot_1[Type]),0)), ""), "")</f>
        <v/>
      </c>
      <c r="K56" s="364" t="str">
        <f t="array" ref="K56">IF(TBL_SQ_Qs_Lot_1[[#This Row],[Type]]="Details", INDEX(TBL_008_Qs_Lot_1[Weighting], MATCH(1, (TBL_SQ_Qs_Lot_1[[#This Row],[Q. No.]]=TBL_008_Qs_Lot_1[Q.])*("Question"=TBL_008_Qs_Lot_1[Type]),0)), "")</f>
        <v/>
      </c>
      <c r="L56" s="296" t="str">
        <f>IF($H$4="No", "Shade", IF(OR(TBL_SQ_Qs_Lot_1[[#This Row],[Question]]="Not used
", AND(TBL_SQ_Qs_Lot_1[[#This Row],[Type]]="Details", TBL_SQ_Qs_Lot_1[[#This Row],[Subs]]=0)), "Shade", ""))</f>
        <v>Shade</v>
      </c>
    </row>
    <row r="57" spans="1:12" ht="28" hidden="1">
      <c r="A57" s="239" t="s">
        <v>1130</v>
      </c>
      <c r="B57" s="84" t="str">
        <f t="array" ref="B5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7" s="234"/>
      <c r="D57" s="366" t="str">
        <f>IF(TBL_SQ_Qs_Lot_1[[#This Row],[Type]]="Question", IF(OR(TBL_SQ_Qs_Lot_1[[#This Row],[Shade?]]="Shade", TBL_SQ_Qs_Lot_1[[#This Row],[Question]]="Question not used
"), "", IF(TBL_SQ_Qs_Lot_1[[#This Row],[Response]]&lt;&gt;"", "Done", "Add")), "")</f>
        <v/>
      </c>
      <c r="E57" s="408" t="s">
        <v>779</v>
      </c>
      <c r="F57" s="364" t="str">
        <f t="array" ref="F57">IF(TBL_SQ_Qs_Lot_1[[#This Row],[Type]]="Details", INDEX(TBL_008_Qs_Lot_1[Word limit], MATCH(1, (TBL_SQ_Qs_Lot_1[[#This Row],[Q. No.]]=TBL_008_Qs_Lot_1[Q.])*("Question"=TBL_008_Qs_Lot_1[Type]),0)), "")</f>
        <v/>
      </c>
      <c r="G57" s="364" t="str">
        <f t="array" ref="G57">IF(TBL_SQ_Qs_Lot_1[[#This Row],[Type]]="Details", INDEX(TBL_008_Qs_Lot_1[Max score], MATCH(1, (TBL_SQ_Qs_Lot_1[[#This Row],[Q. No.]]=TBL_008_Qs_Lot_1[Q.])*("Question"=TBL_008_Qs_Lot_1[Type]),0)), "")</f>
        <v/>
      </c>
      <c r="H57" s="364" t="str">
        <f t="array" ref="H57">IF(TBL_SQ_Qs_Lot_1[[#This Row],[Type]]="Details", INDEX(TBL_008_Qs_Lot_1[No.subs], MATCH(1, (TBL_SQ_Qs_Lot_1[[#This Row],[Q. No.]]=TBL_008_Qs_Lot_1[Q.])*("Question"=TBL_008_Qs_Lot_1[Type]),0)), "")</f>
        <v/>
      </c>
      <c r="I57" s="296" t="str">
        <f t="array" ref="I57">IF(TBL_SQ_Qs_Lot_1[[#This Row],[Type]]="Details", IF(INDEX(TBL_008_Qs_Lot_1[App_pages], MATCH(1, (TBL_SQ_Qs_Lot_1[[#This Row],[Q. No.]]=TBL_008_Qs_Lot_1[Q.])*("Question"=TBL_008_Qs_Lot_1[Type]),0))&lt;&gt;"", INDEX(TBL_008_Qs_Lot_1[App_pages], MATCH(1, (TBL_SQ_Qs_Lot_1[[#This Row],[Q. No.]]=TBL_008_Qs_Lot_1[Q.])*("Question"=TBL_008_Qs_Lot_1[Type]),0)), ""), "")</f>
        <v/>
      </c>
      <c r="J57" s="296" t="str">
        <f t="array" ref="J57">IF(TBL_SQ_Qs_Lot_1[[#This Row],[Type]]="Details", IF(INDEX(TBL_008_Qs_Lot_1[App_sub-qs], MATCH(1, (TBL_SQ_Qs_Lot_1[[#This Row],[Q. No.]]=TBL_008_Qs_Lot_1[Q.])*("Question"=TBL_008_Qs_Lot_1[Type]),0))&lt;&gt;"", INDEX(TBL_008_Qs_Lot_1[App_sub-qs], MATCH(1, (TBL_SQ_Qs_Lot_1[[#This Row],[Q. No.]]=TBL_008_Qs_Lot_1[Q.])*("Question"=TBL_008_Qs_Lot_1[Type]),0)), ""), "")</f>
        <v/>
      </c>
      <c r="K57" s="364" t="str">
        <f t="array" ref="K57">IF(TBL_SQ_Qs_Lot_1[[#This Row],[Type]]="Details", INDEX(TBL_008_Qs_Lot_1[Weighting], MATCH(1, (TBL_SQ_Qs_Lot_1[[#This Row],[Q. No.]]=TBL_008_Qs_Lot_1[Q.])*("Question"=TBL_008_Qs_Lot_1[Type]),0)), "")</f>
        <v/>
      </c>
      <c r="L57" s="296" t="str">
        <f>IF($H$4="No", "Shade", IF(OR(TBL_SQ_Qs_Lot_1[[#This Row],[Question]]="Not used
", AND(TBL_SQ_Qs_Lot_1[[#This Row],[Type]]="Details", TBL_SQ_Qs_Lot_1[[#This Row],[Subs]]=0)), "Shade", ""))</f>
        <v>Shade</v>
      </c>
    </row>
    <row r="58" spans="1:12" ht="28" hidden="1">
      <c r="A58" s="239" t="s">
        <v>1131</v>
      </c>
      <c r="B58" s="84" t="str">
        <f t="array" ref="B5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8" s="234"/>
      <c r="D58" s="366" t="str">
        <f>IF(TBL_SQ_Qs_Lot_1[[#This Row],[Type]]="Question", IF(OR(TBL_SQ_Qs_Lot_1[[#This Row],[Shade?]]="Shade", TBL_SQ_Qs_Lot_1[[#This Row],[Question]]="Question not used
"), "", IF(TBL_SQ_Qs_Lot_1[[#This Row],[Response]]&lt;&gt;"", "Done", "Add")), "")</f>
        <v/>
      </c>
      <c r="E58" s="408" t="s">
        <v>779</v>
      </c>
      <c r="F58" s="364" t="str">
        <f t="array" ref="F58">IF(TBL_SQ_Qs_Lot_1[[#This Row],[Type]]="Details", INDEX(TBL_008_Qs_Lot_1[Word limit], MATCH(1, (TBL_SQ_Qs_Lot_1[[#This Row],[Q. No.]]=TBL_008_Qs_Lot_1[Q.])*("Question"=TBL_008_Qs_Lot_1[Type]),0)), "")</f>
        <v/>
      </c>
      <c r="G58" s="364" t="str">
        <f t="array" ref="G58">IF(TBL_SQ_Qs_Lot_1[[#This Row],[Type]]="Details", INDEX(TBL_008_Qs_Lot_1[Max score], MATCH(1, (TBL_SQ_Qs_Lot_1[[#This Row],[Q. No.]]=TBL_008_Qs_Lot_1[Q.])*("Question"=TBL_008_Qs_Lot_1[Type]),0)), "")</f>
        <v/>
      </c>
      <c r="H58" s="364" t="str">
        <f t="array" ref="H58">IF(TBL_SQ_Qs_Lot_1[[#This Row],[Type]]="Details", INDEX(TBL_008_Qs_Lot_1[No.subs], MATCH(1, (TBL_SQ_Qs_Lot_1[[#This Row],[Q. No.]]=TBL_008_Qs_Lot_1[Q.])*("Question"=TBL_008_Qs_Lot_1[Type]),0)), "")</f>
        <v/>
      </c>
      <c r="I58" s="296" t="str">
        <f t="array" ref="I58">IF(TBL_SQ_Qs_Lot_1[[#This Row],[Type]]="Details", IF(INDEX(TBL_008_Qs_Lot_1[App_pages], MATCH(1, (TBL_SQ_Qs_Lot_1[[#This Row],[Q. No.]]=TBL_008_Qs_Lot_1[Q.])*("Question"=TBL_008_Qs_Lot_1[Type]),0))&lt;&gt;"", INDEX(TBL_008_Qs_Lot_1[App_pages], MATCH(1, (TBL_SQ_Qs_Lot_1[[#This Row],[Q. No.]]=TBL_008_Qs_Lot_1[Q.])*("Question"=TBL_008_Qs_Lot_1[Type]),0)), ""), "")</f>
        <v/>
      </c>
      <c r="J58" s="296" t="str">
        <f t="array" ref="J58">IF(TBL_SQ_Qs_Lot_1[[#This Row],[Type]]="Details", IF(INDEX(TBL_008_Qs_Lot_1[App_sub-qs], MATCH(1, (TBL_SQ_Qs_Lot_1[[#This Row],[Q. No.]]=TBL_008_Qs_Lot_1[Q.])*("Question"=TBL_008_Qs_Lot_1[Type]),0))&lt;&gt;"", INDEX(TBL_008_Qs_Lot_1[App_sub-qs], MATCH(1, (TBL_SQ_Qs_Lot_1[[#This Row],[Q. No.]]=TBL_008_Qs_Lot_1[Q.])*("Question"=TBL_008_Qs_Lot_1[Type]),0)), ""), "")</f>
        <v/>
      </c>
      <c r="K58" s="364" t="str">
        <f t="array" ref="K58">IF(TBL_SQ_Qs_Lot_1[[#This Row],[Type]]="Details", INDEX(TBL_008_Qs_Lot_1[Weighting], MATCH(1, (TBL_SQ_Qs_Lot_1[[#This Row],[Q. No.]]=TBL_008_Qs_Lot_1[Q.])*("Question"=TBL_008_Qs_Lot_1[Type]),0)), "")</f>
        <v/>
      </c>
      <c r="L58" s="296" t="str">
        <f>IF($H$4="No", "Shade", IF(OR(TBL_SQ_Qs_Lot_1[[#This Row],[Question]]="Not used
", AND(TBL_SQ_Qs_Lot_1[[#This Row],[Type]]="Details", TBL_SQ_Qs_Lot_1[[#This Row],[Subs]]=0)), "Shade", ""))</f>
        <v>Shade</v>
      </c>
    </row>
    <row r="59" spans="1:12" ht="28" hidden="1">
      <c r="A59" s="239" t="s">
        <v>1132</v>
      </c>
      <c r="B59" s="84" t="str">
        <f t="array" ref="B5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59" s="234"/>
      <c r="D59" s="366" t="str">
        <f>IF(TBL_SQ_Qs_Lot_1[[#This Row],[Type]]="Question", IF(OR(TBL_SQ_Qs_Lot_1[[#This Row],[Shade?]]="Shade", TBL_SQ_Qs_Lot_1[[#This Row],[Question]]="Question not used
"), "", IF(TBL_SQ_Qs_Lot_1[[#This Row],[Response]]&lt;&gt;"", "Done", "Add")), "")</f>
        <v/>
      </c>
      <c r="E59" s="408" t="s">
        <v>779</v>
      </c>
      <c r="F59" s="364" t="str">
        <f t="array" ref="F59">IF(TBL_SQ_Qs_Lot_1[[#This Row],[Type]]="Details", INDEX(TBL_008_Qs_Lot_1[Word limit], MATCH(1, (TBL_SQ_Qs_Lot_1[[#This Row],[Q. No.]]=TBL_008_Qs_Lot_1[Q.])*("Question"=TBL_008_Qs_Lot_1[Type]),0)), "")</f>
        <v/>
      </c>
      <c r="G59" s="364" t="str">
        <f t="array" ref="G59">IF(TBL_SQ_Qs_Lot_1[[#This Row],[Type]]="Details", INDEX(TBL_008_Qs_Lot_1[Max score], MATCH(1, (TBL_SQ_Qs_Lot_1[[#This Row],[Q. No.]]=TBL_008_Qs_Lot_1[Q.])*("Question"=TBL_008_Qs_Lot_1[Type]),0)), "")</f>
        <v/>
      </c>
      <c r="H59" s="364" t="str">
        <f t="array" ref="H59">IF(TBL_SQ_Qs_Lot_1[[#This Row],[Type]]="Details", INDEX(TBL_008_Qs_Lot_1[No.subs], MATCH(1, (TBL_SQ_Qs_Lot_1[[#This Row],[Q. No.]]=TBL_008_Qs_Lot_1[Q.])*("Question"=TBL_008_Qs_Lot_1[Type]),0)), "")</f>
        <v/>
      </c>
      <c r="I59" s="296" t="str">
        <f t="array" ref="I59">IF(TBL_SQ_Qs_Lot_1[[#This Row],[Type]]="Details", IF(INDEX(TBL_008_Qs_Lot_1[App_pages], MATCH(1, (TBL_SQ_Qs_Lot_1[[#This Row],[Q. No.]]=TBL_008_Qs_Lot_1[Q.])*("Question"=TBL_008_Qs_Lot_1[Type]),0))&lt;&gt;"", INDEX(TBL_008_Qs_Lot_1[App_pages], MATCH(1, (TBL_SQ_Qs_Lot_1[[#This Row],[Q. No.]]=TBL_008_Qs_Lot_1[Q.])*("Question"=TBL_008_Qs_Lot_1[Type]),0)), ""), "")</f>
        <v/>
      </c>
      <c r="J59" s="296" t="str">
        <f t="array" ref="J59">IF(TBL_SQ_Qs_Lot_1[[#This Row],[Type]]="Details", IF(INDEX(TBL_008_Qs_Lot_1[App_sub-qs], MATCH(1, (TBL_SQ_Qs_Lot_1[[#This Row],[Q. No.]]=TBL_008_Qs_Lot_1[Q.])*("Question"=TBL_008_Qs_Lot_1[Type]),0))&lt;&gt;"", INDEX(TBL_008_Qs_Lot_1[App_sub-qs], MATCH(1, (TBL_SQ_Qs_Lot_1[[#This Row],[Q. No.]]=TBL_008_Qs_Lot_1[Q.])*("Question"=TBL_008_Qs_Lot_1[Type]),0)), ""), "")</f>
        <v/>
      </c>
      <c r="K59" s="364" t="str">
        <f t="array" ref="K59">IF(TBL_SQ_Qs_Lot_1[[#This Row],[Type]]="Details", INDEX(TBL_008_Qs_Lot_1[Weighting], MATCH(1, (TBL_SQ_Qs_Lot_1[[#This Row],[Q. No.]]=TBL_008_Qs_Lot_1[Q.])*("Question"=TBL_008_Qs_Lot_1[Type]),0)), "")</f>
        <v/>
      </c>
      <c r="L59" s="296" t="str">
        <f>IF($H$4="No", "Shade", IF(OR(TBL_SQ_Qs_Lot_1[[#This Row],[Question]]="Not used
", AND(TBL_SQ_Qs_Lot_1[[#This Row],[Type]]="Details", TBL_SQ_Qs_Lot_1[[#This Row],[Subs]]=0)), "Shade", ""))</f>
        <v>Shade</v>
      </c>
    </row>
    <row r="60" spans="1:12" ht="28" hidden="1">
      <c r="A60" s="239" t="s">
        <v>1133</v>
      </c>
      <c r="B60" s="84" t="str">
        <f t="array" ref="B6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0" s="234"/>
      <c r="D60" s="366" t="str">
        <f>IF(TBL_SQ_Qs_Lot_1[[#This Row],[Type]]="Question", IF(OR(TBL_SQ_Qs_Lot_1[[#This Row],[Shade?]]="Shade", TBL_SQ_Qs_Lot_1[[#This Row],[Question]]="Question not used
"), "", IF(TBL_SQ_Qs_Lot_1[[#This Row],[Response]]&lt;&gt;"", "Done", "Add")), "")</f>
        <v/>
      </c>
      <c r="E60" s="408" t="s">
        <v>779</v>
      </c>
      <c r="F60" s="364" t="str">
        <f t="array" ref="F60">IF(TBL_SQ_Qs_Lot_1[[#This Row],[Type]]="Details", INDEX(TBL_008_Qs_Lot_1[Word limit], MATCH(1, (TBL_SQ_Qs_Lot_1[[#This Row],[Q. No.]]=TBL_008_Qs_Lot_1[Q.])*("Question"=TBL_008_Qs_Lot_1[Type]),0)), "")</f>
        <v/>
      </c>
      <c r="G60" s="364" t="str">
        <f t="array" ref="G60">IF(TBL_SQ_Qs_Lot_1[[#This Row],[Type]]="Details", INDEX(TBL_008_Qs_Lot_1[Max score], MATCH(1, (TBL_SQ_Qs_Lot_1[[#This Row],[Q. No.]]=TBL_008_Qs_Lot_1[Q.])*("Question"=TBL_008_Qs_Lot_1[Type]),0)), "")</f>
        <v/>
      </c>
      <c r="H60" s="364" t="str">
        <f t="array" ref="H60">IF(TBL_SQ_Qs_Lot_1[[#This Row],[Type]]="Details", INDEX(TBL_008_Qs_Lot_1[No.subs], MATCH(1, (TBL_SQ_Qs_Lot_1[[#This Row],[Q. No.]]=TBL_008_Qs_Lot_1[Q.])*("Question"=TBL_008_Qs_Lot_1[Type]),0)), "")</f>
        <v/>
      </c>
      <c r="I60" s="296" t="str">
        <f t="array" ref="I60">IF(TBL_SQ_Qs_Lot_1[[#This Row],[Type]]="Details", IF(INDEX(TBL_008_Qs_Lot_1[App_pages], MATCH(1, (TBL_SQ_Qs_Lot_1[[#This Row],[Q. No.]]=TBL_008_Qs_Lot_1[Q.])*("Question"=TBL_008_Qs_Lot_1[Type]),0))&lt;&gt;"", INDEX(TBL_008_Qs_Lot_1[App_pages], MATCH(1, (TBL_SQ_Qs_Lot_1[[#This Row],[Q. No.]]=TBL_008_Qs_Lot_1[Q.])*("Question"=TBL_008_Qs_Lot_1[Type]),0)), ""), "")</f>
        <v/>
      </c>
      <c r="J60" s="296" t="str">
        <f t="array" ref="J60">IF(TBL_SQ_Qs_Lot_1[[#This Row],[Type]]="Details", IF(INDEX(TBL_008_Qs_Lot_1[App_sub-qs], MATCH(1, (TBL_SQ_Qs_Lot_1[[#This Row],[Q. No.]]=TBL_008_Qs_Lot_1[Q.])*("Question"=TBL_008_Qs_Lot_1[Type]),0))&lt;&gt;"", INDEX(TBL_008_Qs_Lot_1[App_sub-qs], MATCH(1, (TBL_SQ_Qs_Lot_1[[#This Row],[Q. No.]]=TBL_008_Qs_Lot_1[Q.])*("Question"=TBL_008_Qs_Lot_1[Type]),0)), ""), "")</f>
        <v/>
      </c>
      <c r="K60" s="364" t="str">
        <f t="array" ref="K60">IF(TBL_SQ_Qs_Lot_1[[#This Row],[Type]]="Details", INDEX(TBL_008_Qs_Lot_1[Weighting], MATCH(1, (TBL_SQ_Qs_Lot_1[[#This Row],[Q. No.]]=TBL_008_Qs_Lot_1[Q.])*("Question"=TBL_008_Qs_Lot_1[Type]),0)), "")</f>
        <v/>
      </c>
      <c r="L60" s="296" t="str">
        <f>IF($H$4="No", "Shade", IF(OR(TBL_SQ_Qs_Lot_1[[#This Row],[Question]]="Not used
", AND(TBL_SQ_Qs_Lot_1[[#This Row],[Type]]="Details", TBL_SQ_Qs_Lot_1[[#This Row],[Subs]]=0)), "Shade", ""))</f>
        <v>Shade</v>
      </c>
    </row>
    <row r="61" spans="1:12" ht="25" hidden="1" customHeight="1">
      <c r="A61" s="237" t="s">
        <v>399</v>
      </c>
      <c r="B61" s="237" t="str">
        <f t="array" ref="B6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1" s="297"/>
      <c r="D61" s="297" t="str">
        <f>IF(TBL_SQ_Qs_Lot_1[[#This Row],[Type]]="Question", IF(OR(TBL_SQ_Qs_Lot_1[[#This Row],[Shade?]]="Shade", TBL_SQ_Qs_Lot_1[[#This Row],[Question]]="Question not used
"), "", IF(TBL_SQ_Qs_Lot_1[[#This Row],[Response]]&lt;&gt;"", "Done", "Add")), "")</f>
        <v/>
      </c>
      <c r="E61" s="301" t="s">
        <v>209</v>
      </c>
      <c r="F61" s="296" t="str">
        <f t="array" ref="F61">IF(TBL_SQ_Qs_Lot_1[[#This Row],[Type]]="Details", INDEX(TBL_008_Qs_Lot_1[Word limit], MATCH(1, (TBL_SQ_Qs_Lot_1[[#This Row],[Q. No.]]=TBL_008_Qs_Lot_1[Q.])*("Question"=TBL_008_Qs_Lot_1[Type]),0)), "")</f>
        <v/>
      </c>
      <c r="G61" s="296" t="str">
        <f t="array" ref="G61">IF(TBL_SQ_Qs_Lot_1[[#This Row],[Type]]="Details", INDEX(TBL_008_Qs_Lot_1[Max score], MATCH(1, (TBL_SQ_Qs_Lot_1[[#This Row],[Q. No.]]=TBL_008_Qs_Lot_1[Q.])*("Question"=TBL_008_Qs_Lot_1[Type]),0)), "")</f>
        <v/>
      </c>
      <c r="H61" s="296" t="str">
        <f t="array" ref="H61">IF(TBL_SQ_Qs_Lot_1[[#This Row],[Type]]="Details", INDEX(TBL_008_Qs_Lot_1[No.subs], MATCH(1, (TBL_SQ_Qs_Lot_1[[#This Row],[Q. No.]]=TBL_008_Qs_Lot_1[Q.])*("Question"=TBL_008_Qs_Lot_1[Type]),0)), "")</f>
        <v/>
      </c>
      <c r="I61" s="296" t="str">
        <f t="array" ref="I61">IF(TBL_SQ_Qs_Lot_1[[#This Row],[Type]]="Details", IF(INDEX(TBL_008_Qs_Lot_1[App_pages], MATCH(1, (TBL_SQ_Qs_Lot_1[[#This Row],[Q. No.]]=TBL_008_Qs_Lot_1[Q.])*("Question"=TBL_008_Qs_Lot_1[Type]),0))&lt;&gt;"", INDEX(TBL_008_Qs_Lot_1[App_pages], MATCH(1, (TBL_SQ_Qs_Lot_1[[#This Row],[Q. No.]]=TBL_008_Qs_Lot_1[Q.])*("Question"=TBL_008_Qs_Lot_1[Type]),0)), ""), "")</f>
        <v/>
      </c>
      <c r="J61" s="296" t="str">
        <f t="array" ref="J61">IF(TBL_SQ_Qs_Lot_1[[#This Row],[Type]]="Details", IF(INDEX(TBL_008_Qs_Lot_1[App_sub-qs], MATCH(1, (TBL_SQ_Qs_Lot_1[[#This Row],[Q. No.]]=TBL_008_Qs_Lot_1[Q.])*("Question"=TBL_008_Qs_Lot_1[Type]),0))&lt;&gt;"", INDEX(TBL_008_Qs_Lot_1[App_sub-qs], MATCH(1, (TBL_SQ_Qs_Lot_1[[#This Row],[Q. No.]]=TBL_008_Qs_Lot_1[Q.])*("Question"=TBL_008_Qs_Lot_1[Type]),0)), ""), "")</f>
        <v/>
      </c>
      <c r="K61" s="296" t="str">
        <f t="array" ref="K61">IF(TBL_SQ_Qs_Lot_1[[#This Row],[Type]]="Details", INDEX(TBL_008_Qs_Lot_1[Weighting], MATCH(1, (TBL_SQ_Qs_Lot_1[[#This Row],[Q. No.]]=TBL_008_Qs_Lot_1[Q.])*("Question"=TBL_008_Qs_Lot_1[Type]),0)), "")</f>
        <v/>
      </c>
      <c r="L61" s="296" t="str">
        <f>IF($H$4="No", "Shade", IF(OR(TBL_SQ_Qs_Lot_1[[#This Row],[Question]]="Not used
", AND(TBL_SQ_Qs_Lot_1[[#This Row],[Type]]="Details", TBL_SQ_Qs_Lot_1[[#This Row],[Subs]]=0)), "Shade", ""))</f>
        <v>Shade</v>
      </c>
    </row>
    <row r="62" spans="1:12" ht="25" hidden="1" customHeight="1">
      <c r="A62" s="238" t="s">
        <v>399</v>
      </c>
      <c r="B62" s="220" t="str">
        <f t="array" ref="B6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Q6.4 should have a word count of not more than 0 words.
The maximum score for this question is 0.00 marks (0.00 elements x 5.00 marks)
</v>
      </c>
      <c r="C62" s="233"/>
      <c r="D62" s="297" t="str">
        <f>IF(TBL_SQ_Qs_Lot_1[[#This Row],[Type]]="Question", IF(OR(TBL_SQ_Qs_Lot_1[[#This Row],[Shade?]]="Shade", TBL_SQ_Qs_Lot_1[[#This Row],[Question]]="Question not used
"), "", IF(TBL_SQ_Qs_Lot_1[[#This Row],[Response]]&lt;&gt;"", "Done", "Add")), "")</f>
        <v/>
      </c>
      <c r="E62" s="407" t="s">
        <v>798</v>
      </c>
      <c r="F62" s="296">
        <f t="array" ref="F62">IF(TBL_SQ_Qs_Lot_1[[#This Row],[Type]]="Details", INDEX(TBL_008_Qs_Lot_1[Word limit], MATCH(1, (TBL_SQ_Qs_Lot_1[[#This Row],[Q. No.]]=TBL_008_Qs_Lot_1[Q.])*("Question"=TBL_008_Qs_Lot_1[Type]),0)), "")</f>
        <v>0</v>
      </c>
      <c r="G62" s="296">
        <f t="array" ref="G62">IF(TBL_SQ_Qs_Lot_1[[#This Row],[Type]]="Details", INDEX(TBL_008_Qs_Lot_1[Max score], MATCH(1, (TBL_SQ_Qs_Lot_1[[#This Row],[Q. No.]]=TBL_008_Qs_Lot_1[Q.])*("Question"=TBL_008_Qs_Lot_1[Type]),0)), "")</f>
        <v>0</v>
      </c>
      <c r="H62" s="296">
        <f t="array" ref="H62">IF(TBL_SQ_Qs_Lot_1[[#This Row],[Type]]="Details", INDEX(TBL_008_Qs_Lot_1[No.subs], MATCH(1, (TBL_SQ_Qs_Lot_1[[#This Row],[Q. No.]]=TBL_008_Qs_Lot_1[Q.])*("Question"=TBL_008_Qs_Lot_1[Type]),0)), "")</f>
        <v>0</v>
      </c>
      <c r="I62" s="296" t="str">
        <f t="array" ref="I62">IF(TBL_SQ_Qs_Lot_1[[#This Row],[Type]]="Details", IF(INDEX(TBL_008_Qs_Lot_1[App_pages], MATCH(1, (TBL_SQ_Qs_Lot_1[[#This Row],[Q. No.]]=TBL_008_Qs_Lot_1[Q.])*("Question"=TBL_008_Qs_Lot_1[Type]),0))&lt;&gt;"", INDEX(TBL_008_Qs_Lot_1[App_pages], MATCH(1, (TBL_SQ_Qs_Lot_1[[#This Row],[Q. No.]]=TBL_008_Qs_Lot_1[Q.])*("Question"=TBL_008_Qs_Lot_1[Type]),0)), ""), "")</f>
        <v/>
      </c>
      <c r="J62" s="296" t="str">
        <f t="array" ref="J62">IF(TBL_SQ_Qs_Lot_1[[#This Row],[Type]]="Details", IF(INDEX(TBL_008_Qs_Lot_1[App_sub-qs], MATCH(1, (TBL_SQ_Qs_Lot_1[[#This Row],[Q. No.]]=TBL_008_Qs_Lot_1[Q.])*("Question"=TBL_008_Qs_Lot_1[Type]),0))&lt;&gt;"", INDEX(TBL_008_Qs_Lot_1[App_sub-qs], MATCH(1, (TBL_SQ_Qs_Lot_1[[#This Row],[Q. No.]]=TBL_008_Qs_Lot_1[Q.])*("Question"=TBL_008_Qs_Lot_1[Type]),0)), ""), "")</f>
        <v/>
      </c>
      <c r="K62" s="296" t="str">
        <f t="array" ref="K62">IF(TBL_SQ_Qs_Lot_1[[#This Row],[Type]]="Details", INDEX(TBL_008_Qs_Lot_1[Weighting], MATCH(1, (TBL_SQ_Qs_Lot_1[[#This Row],[Q. No.]]=TBL_008_Qs_Lot_1[Q.])*("Question"=TBL_008_Qs_Lot_1[Type]),0)), "")</f>
        <v>N/A</v>
      </c>
      <c r="L62" s="296" t="str">
        <f>IF($H$4="No", "Shade", IF(OR(TBL_SQ_Qs_Lot_1[[#This Row],[Question]]="Not used
", AND(TBL_SQ_Qs_Lot_1[[#This Row],[Type]]="Details", TBL_SQ_Qs_Lot_1[[#This Row],[Subs]]=0)), "Shade", ""))</f>
        <v>Shade</v>
      </c>
    </row>
    <row r="63" spans="1:12" ht="25" hidden="1" customHeight="1">
      <c r="A63" s="239" t="s">
        <v>400</v>
      </c>
      <c r="B63" s="84" t="str">
        <f t="array" ref="B6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3" s="234"/>
      <c r="D63" s="297" t="str">
        <f>IF(TBL_SQ_Qs_Lot_1[[#This Row],[Type]]="Question", IF(OR(TBL_SQ_Qs_Lot_1[[#This Row],[Shade?]]="Shade", TBL_SQ_Qs_Lot_1[[#This Row],[Question]]="Question not used
"), "", IF(TBL_SQ_Qs_Lot_1[[#This Row],[Response]]&lt;&gt;"", "Done", "Add")), "")</f>
        <v/>
      </c>
      <c r="E63" s="407" t="s">
        <v>779</v>
      </c>
      <c r="F63" s="296" t="str">
        <f t="array" ref="F63">IF(TBL_SQ_Qs_Lot_1[[#This Row],[Type]]="Details", INDEX(TBL_008_Qs_Lot_1[Word limit], MATCH(1, (TBL_SQ_Qs_Lot_1[[#This Row],[Q. No.]]=TBL_008_Qs_Lot_1[Q.])*("Question"=TBL_008_Qs_Lot_1[Type]),0)), "")</f>
        <v/>
      </c>
      <c r="G63" s="296" t="str">
        <f t="array" ref="G63">IF(TBL_SQ_Qs_Lot_1[[#This Row],[Type]]="Details", INDEX(TBL_008_Qs_Lot_1[Max score], MATCH(1, (TBL_SQ_Qs_Lot_1[[#This Row],[Q. No.]]=TBL_008_Qs_Lot_1[Q.])*("Question"=TBL_008_Qs_Lot_1[Type]),0)), "")</f>
        <v/>
      </c>
      <c r="H63" s="296" t="str">
        <f t="array" ref="H63">IF(TBL_SQ_Qs_Lot_1[[#This Row],[Type]]="Details", INDEX(TBL_008_Qs_Lot_1[No.subs], MATCH(1, (TBL_SQ_Qs_Lot_1[[#This Row],[Q. No.]]=TBL_008_Qs_Lot_1[Q.])*("Question"=TBL_008_Qs_Lot_1[Type]),0)), "")</f>
        <v/>
      </c>
      <c r="I63" s="296" t="str">
        <f t="array" ref="I63">IF(TBL_SQ_Qs_Lot_1[[#This Row],[Type]]="Details", IF(INDEX(TBL_008_Qs_Lot_1[App_pages], MATCH(1, (TBL_SQ_Qs_Lot_1[[#This Row],[Q. No.]]=TBL_008_Qs_Lot_1[Q.])*("Question"=TBL_008_Qs_Lot_1[Type]),0))&lt;&gt;"", INDEX(TBL_008_Qs_Lot_1[App_pages], MATCH(1, (TBL_SQ_Qs_Lot_1[[#This Row],[Q. No.]]=TBL_008_Qs_Lot_1[Q.])*("Question"=TBL_008_Qs_Lot_1[Type]),0)), ""), "")</f>
        <v/>
      </c>
      <c r="J63" s="296" t="str">
        <f t="array" ref="J63">IF(TBL_SQ_Qs_Lot_1[[#This Row],[Type]]="Details", IF(INDEX(TBL_008_Qs_Lot_1[App_sub-qs], MATCH(1, (TBL_SQ_Qs_Lot_1[[#This Row],[Q. No.]]=TBL_008_Qs_Lot_1[Q.])*("Question"=TBL_008_Qs_Lot_1[Type]),0))&lt;&gt;"", INDEX(TBL_008_Qs_Lot_1[App_sub-qs], MATCH(1, (TBL_SQ_Qs_Lot_1[[#This Row],[Q. No.]]=TBL_008_Qs_Lot_1[Q.])*("Question"=TBL_008_Qs_Lot_1[Type]),0)), ""), "")</f>
        <v/>
      </c>
      <c r="K63" s="296" t="str">
        <f t="array" ref="K63">IF(TBL_SQ_Qs_Lot_1[[#This Row],[Type]]="Details", INDEX(TBL_008_Qs_Lot_1[Weighting], MATCH(1, (TBL_SQ_Qs_Lot_1[[#This Row],[Q. No.]]=TBL_008_Qs_Lot_1[Q.])*("Question"=TBL_008_Qs_Lot_1[Type]),0)), "")</f>
        <v/>
      </c>
      <c r="L63" s="296" t="str">
        <f>IF($H$4="No", "Shade", IF(OR(TBL_SQ_Qs_Lot_1[[#This Row],[Question]]="Not used
", AND(TBL_SQ_Qs_Lot_1[[#This Row],[Type]]="Details", TBL_SQ_Qs_Lot_1[[#This Row],[Subs]]=0)), "Shade", ""))</f>
        <v>Shade</v>
      </c>
    </row>
    <row r="64" spans="1:12" ht="25" hidden="1" customHeight="1">
      <c r="A64" s="239" t="s">
        <v>401</v>
      </c>
      <c r="B64" s="84" t="str">
        <f t="array" ref="B6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4" s="234"/>
      <c r="D64" s="297" t="str">
        <f>IF(TBL_SQ_Qs_Lot_1[[#This Row],[Type]]="Question", IF(OR(TBL_SQ_Qs_Lot_1[[#This Row],[Shade?]]="Shade", TBL_SQ_Qs_Lot_1[[#This Row],[Question]]="Question not used
"), "", IF(TBL_SQ_Qs_Lot_1[[#This Row],[Response]]&lt;&gt;"", "Done", "Add")), "")</f>
        <v/>
      </c>
      <c r="E64" s="407" t="s">
        <v>779</v>
      </c>
      <c r="F64" s="296" t="str">
        <f t="array" ref="F64">IF(TBL_SQ_Qs_Lot_1[[#This Row],[Type]]="Details", INDEX(TBL_008_Qs_Lot_1[Word limit], MATCH(1, (TBL_SQ_Qs_Lot_1[[#This Row],[Q. No.]]=TBL_008_Qs_Lot_1[Q.])*("Question"=TBL_008_Qs_Lot_1[Type]),0)), "")</f>
        <v/>
      </c>
      <c r="G64" s="296" t="str">
        <f t="array" ref="G64">IF(TBL_SQ_Qs_Lot_1[[#This Row],[Type]]="Details", INDEX(TBL_008_Qs_Lot_1[Max score], MATCH(1, (TBL_SQ_Qs_Lot_1[[#This Row],[Q. No.]]=TBL_008_Qs_Lot_1[Q.])*("Question"=TBL_008_Qs_Lot_1[Type]),0)), "")</f>
        <v/>
      </c>
      <c r="H64" s="296" t="str">
        <f t="array" ref="H64">IF(TBL_SQ_Qs_Lot_1[[#This Row],[Type]]="Details", INDEX(TBL_008_Qs_Lot_1[No.subs], MATCH(1, (TBL_SQ_Qs_Lot_1[[#This Row],[Q. No.]]=TBL_008_Qs_Lot_1[Q.])*("Question"=TBL_008_Qs_Lot_1[Type]),0)), "")</f>
        <v/>
      </c>
      <c r="I64" s="296" t="str">
        <f t="array" ref="I64">IF(TBL_SQ_Qs_Lot_1[[#This Row],[Type]]="Details", IF(INDEX(TBL_008_Qs_Lot_1[App_pages], MATCH(1, (TBL_SQ_Qs_Lot_1[[#This Row],[Q. No.]]=TBL_008_Qs_Lot_1[Q.])*("Question"=TBL_008_Qs_Lot_1[Type]),0))&lt;&gt;"", INDEX(TBL_008_Qs_Lot_1[App_pages], MATCH(1, (TBL_SQ_Qs_Lot_1[[#This Row],[Q. No.]]=TBL_008_Qs_Lot_1[Q.])*("Question"=TBL_008_Qs_Lot_1[Type]),0)), ""), "")</f>
        <v/>
      </c>
      <c r="J64" s="296" t="str">
        <f t="array" ref="J64">IF(TBL_SQ_Qs_Lot_1[[#This Row],[Type]]="Details", IF(INDEX(TBL_008_Qs_Lot_1[App_sub-qs], MATCH(1, (TBL_SQ_Qs_Lot_1[[#This Row],[Q. No.]]=TBL_008_Qs_Lot_1[Q.])*("Question"=TBL_008_Qs_Lot_1[Type]),0))&lt;&gt;"", INDEX(TBL_008_Qs_Lot_1[App_sub-qs], MATCH(1, (TBL_SQ_Qs_Lot_1[[#This Row],[Q. No.]]=TBL_008_Qs_Lot_1[Q.])*("Question"=TBL_008_Qs_Lot_1[Type]),0)), ""), "")</f>
        <v/>
      </c>
      <c r="K64" s="296" t="str">
        <f t="array" ref="K64">IF(TBL_SQ_Qs_Lot_1[[#This Row],[Type]]="Details", INDEX(TBL_008_Qs_Lot_1[Weighting], MATCH(1, (TBL_SQ_Qs_Lot_1[[#This Row],[Q. No.]]=TBL_008_Qs_Lot_1[Q.])*("Question"=TBL_008_Qs_Lot_1[Type]),0)), "")</f>
        <v/>
      </c>
      <c r="L64" s="296" t="str">
        <f>IF($H$4="No", "Shade", IF(OR(TBL_SQ_Qs_Lot_1[[#This Row],[Question]]="Not used
", AND(TBL_SQ_Qs_Lot_1[[#This Row],[Type]]="Details", TBL_SQ_Qs_Lot_1[[#This Row],[Subs]]=0)), "Shade", ""))</f>
        <v>Shade</v>
      </c>
    </row>
    <row r="65" spans="1:12" ht="25" hidden="1" customHeight="1">
      <c r="A65" s="239" t="s">
        <v>402</v>
      </c>
      <c r="B65" s="84" t="str">
        <f t="array" ref="B6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5" s="234"/>
      <c r="D65" s="297" t="str">
        <f>IF(TBL_SQ_Qs_Lot_1[[#This Row],[Type]]="Question", IF(OR(TBL_SQ_Qs_Lot_1[[#This Row],[Shade?]]="Shade", TBL_SQ_Qs_Lot_1[[#This Row],[Question]]="Question not used
"), "", IF(TBL_SQ_Qs_Lot_1[[#This Row],[Response]]&lt;&gt;"", "Done", "Add")), "")</f>
        <v/>
      </c>
      <c r="E65" s="407" t="s">
        <v>779</v>
      </c>
      <c r="F65" s="296" t="str">
        <f t="array" ref="F65">IF(TBL_SQ_Qs_Lot_1[[#This Row],[Type]]="Details", INDEX(TBL_008_Qs_Lot_1[Word limit], MATCH(1, (TBL_SQ_Qs_Lot_1[[#This Row],[Q. No.]]=TBL_008_Qs_Lot_1[Q.])*("Question"=TBL_008_Qs_Lot_1[Type]),0)), "")</f>
        <v/>
      </c>
      <c r="G65" s="296" t="str">
        <f t="array" ref="G65">IF(TBL_SQ_Qs_Lot_1[[#This Row],[Type]]="Details", INDEX(TBL_008_Qs_Lot_1[Max score], MATCH(1, (TBL_SQ_Qs_Lot_1[[#This Row],[Q. No.]]=TBL_008_Qs_Lot_1[Q.])*("Question"=TBL_008_Qs_Lot_1[Type]),0)), "")</f>
        <v/>
      </c>
      <c r="H65" s="296" t="str">
        <f t="array" ref="H65">IF(TBL_SQ_Qs_Lot_1[[#This Row],[Type]]="Details", INDEX(TBL_008_Qs_Lot_1[No.subs], MATCH(1, (TBL_SQ_Qs_Lot_1[[#This Row],[Q. No.]]=TBL_008_Qs_Lot_1[Q.])*("Question"=TBL_008_Qs_Lot_1[Type]),0)), "")</f>
        <v/>
      </c>
      <c r="I65" s="296" t="str">
        <f t="array" ref="I65">IF(TBL_SQ_Qs_Lot_1[[#This Row],[Type]]="Details", IF(INDEX(TBL_008_Qs_Lot_1[App_pages], MATCH(1, (TBL_SQ_Qs_Lot_1[[#This Row],[Q. No.]]=TBL_008_Qs_Lot_1[Q.])*("Question"=TBL_008_Qs_Lot_1[Type]),0))&lt;&gt;"", INDEX(TBL_008_Qs_Lot_1[App_pages], MATCH(1, (TBL_SQ_Qs_Lot_1[[#This Row],[Q. No.]]=TBL_008_Qs_Lot_1[Q.])*("Question"=TBL_008_Qs_Lot_1[Type]),0)), ""), "")</f>
        <v/>
      </c>
      <c r="J65" s="296" t="str">
        <f t="array" ref="J65">IF(TBL_SQ_Qs_Lot_1[[#This Row],[Type]]="Details", IF(INDEX(TBL_008_Qs_Lot_1[App_sub-qs], MATCH(1, (TBL_SQ_Qs_Lot_1[[#This Row],[Q. No.]]=TBL_008_Qs_Lot_1[Q.])*("Question"=TBL_008_Qs_Lot_1[Type]),0))&lt;&gt;"", INDEX(TBL_008_Qs_Lot_1[App_sub-qs], MATCH(1, (TBL_SQ_Qs_Lot_1[[#This Row],[Q. No.]]=TBL_008_Qs_Lot_1[Q.])*("Question"=TBL_008_Qs_Lot_1[Type]),0)), ""), "")</f>
        <v/>
      </c>
      <c r="K65" s="296" t="str">
        <f t="array" ref="K65">IF(TBL_SQ_Qs_Lot_1[[#This Row],[Type]]="Details", INDEX(TBL_008_Qs_Lot_1[Weighting], MATCH(1, (TBL_SQ_Qs_Lot_1[[#This Row],[Q. No.]]=TBL_008_Qs_Lot_1[Q.])*("Question"=TBL_008_Qs_Lot_1[Type]),0)), "")</f>
        <v/>
      </c>
      <c r="L65" s="296" t="str">
        <f>IF($H$4="No", "Shade", IF(OR(TBL_SQ_Qs_Lot_1[[#This Row],[Question]]="Not used
", AND(TBL_SQ_Qs_Lot_1[[#This Row],[Type]]="Details", TBL_SQ_Qs_Lot_1[[#This Row],[Subs]]=0)), "Shade", ""))</f>
        <v>Shade</v>
      </c>
    </row>
    <row r="66" spans="1:12" ht="25" hidden="1" customHeight="1">
      <c r="A66" s="239" t="s">
        <v>403</v>
      </c>
      <c r="B66" s="84" t="str">
        <f t="array" ref="B6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6" s="234"/>
      <c r="D66" s="297" t="str">
        <f>IF(TBL_SQ_Qs_Lot_1[[#This Row],[Type]]="Question", IF(OR(TBL_SQ_Qs_Lot_1[[#This Row],[Shade?]]="Shade", TBL_SQ_Qs_Lot_1[[#This Row],[Question]]="Question not used
"), "", IF(TBL_SQ_Qs_Lot_1[[#This Row],[Response]]&lt;&gt;"", "Done", "Add")), "")</f>
        <v/>
      </c>
      <c r="E66" s="407" t="s">
        <v>779</v>
      </c>
      <c r="F66" s="296" t="str">
        <f t="array" ref="F66">IF(TBL_SQ_Qs_Lot_1[[#This Row],[Type]]="Details", INDEX(TBL_008_Qs_Lot_1[Word limit], MATCH(1, (TBL_SQ_Qs_Lot_1[[#This Row],[Q. No.]]=TBL_008_Qs_Lot_1[Q.])*("Question"=TBL_008_Qs_Lot_1[Type]),0)), "")</f>
        <v/>
      </c>
      <c r="G66" s="296" t="str">
        <f t="array" ref="G66">IF(TBL_SQ_Qs_Lot_1[[#This Row],[Type]]="Details", INDEX(TBL_008_Qs_Lot_1[Max score], MATCH(1, (TBL_SQ_Qs_Lot_1[[#This Row],[Q. No.]]=TBL_008_Qs_Lot_1[Q.])*("Question"=TBL_008_Qs_Lot_1[Type]),0)), "")</f>
        <v/>
      </c>
      <c r="H66" s="296" t="str">
        <f t="array" ref="H66">IF(TBL_SQ_Qs_Lot_1[[#This Row],[Type]]="Details", INDEX(TBL_008_Qs_Lot_1[No.subs], MATCH(1, (TBL_SQ_Qs_Lot_1[[#This Row],[Q. No.]]=TBL_008_Qs_Lot_1[Q.])*("Question"=TBL_008_Qs_Lot_1[Type]),0)), "")</f>
        <v/>
      </c>
      <c r="I66" s="296" t="str">
        <f t="array" ref="I66">IF(TBL_SQ_Qs_Lot_1[[#This Row],[Type]]="Details", IF(INDEX(TBL_008_Qs_Lot_1[App_pages], MATCH(1, (TBL_SQ_Qs_Lot_1[[#This Row],[Q. No.]]=TBL_008_Qs_Lot_1[Q.])*("Question"=TBL_008_Qs_Lot_1[Type]),0))&lt;&gt;"", INDEX(TBL_008_Qs_Lot_1[App_pages], MATCH(1, (TBL_SQ_Qs_Lot_1[[#This Row],[Q. No.]]=TBL_008_Qs_Lot_1[Q.])*("Question"=TBL_008_Qs_Lot_1[Type]),0)), ""), "")</f>
        <v/>
      </c>
      <c r="J66" s="296" t="str">
        <f t="array" ref="J66">IF(TBL_SQ_Qs_Lot_1[[#This Row],[Type]]="Details", IF(INDEX(TBL_008_Qs_Lot_1[App_sub-qs], MATCH(1, (TBL_SQ_Qs_Lot_1[[#This Row],[Q. No.]]=TBL_008_Qs_Lot_1[Q.])*("Question"=TBL_008_Qs_Lot_1[Type]),0))&lt;&gt;"", INDEX(TBL_008_Qs_Lot_1[App_sub-qs], MATCH(1, (TBL_SQ_Qs_Lot_1[[#This Row],[Q. No.]]=TBL_008_Qs_Lot_1[Q.])*("Question"=TBL_008_Qs_Lot_1[Type]),0)), ""), "")</f>
        <v/>
      </c>
      <c r="K66" s="296" t="str">
        <f t="array" ref="K66">IF(TBL_SQ_Qs_Lot_1[[#This Row],[Type]]="Details", INDEX(TBL_008_Qs_Lot_1[Weighting], MATCH(1, (TBL_SQ_Qs_Lot_1[[#This Row],[Q. No.]]=TBL_008_Qs_Lot_1[Q.])*("Question"=TBL_008_Qs_Lot_1[Type]),0)), "")</f>
        <v/>
      </c>
      <c r="L66" s="296" t="str">
        <f>IF($H$4="No", "Shade", IF(OR(TBL_SQ_Qs_Lot_1[[#This Row],[Question]]="Not used
", AND(TBL_SQ_Qs_Lot_1[[#This Row],[Type]]="Details", TBL_SQ_Qs_Lot_1[[#This Row],[Subs]]=0)), "Shade", ""))</f>
        <v>Shade</v>
      </c>
    </row>
    <row r="67" spans="1:12" ht="25" hidden="1" customHeight="1">
      <c r="A67" s="239" t="s">
        <v>404</v>
      </c>
      <c r="B67" s="84" t="str">
        <f t="array" ref="B6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7" s="234"/>
      <c r="D67" s="297" t="str">
        <f>IF(TBL_SQ_Qs_Lot_1[[#This Row],[Type]]="Question", IF(OR(TBL_SQ_Qs_Lot_1[[#This Row],[Shade?]]="Shade", TBL_SQ_Qs_Lot_1[[#This Row],[Question]]="Question not used
"), "", IF(TBL_SQ_Qs_Lot_1[[#This Row],[Response]]&lt;&gt;"", "Done", "Add")), "")</f>
        <v/>
      </c>
      <c r="E67" s="407" t="s">
        <v>779</v>
      </c>
      <c r="F67" s="296" t="str">
        <f t="array" ref="F67">IF(TBL_SQ_Qs_Lot_1[[#This Row],[Type]]="Details", INDEX(TBL_008_Qs_Lot_1[Word limit], MATCH(1, (TBL_SQ_Qs_Lot_1[[#This Row],[Q. No.]]=TBL_008_Qs_Lot_1[Q.])*("Question"=TBL_008_Qs_Lot_1[Type]),0)), "")</f>
        <v/>
      </c>
      <c r="G67" s="296" t="str">
        <f t="array" ref="G67">IF(TBL_SQ_Qs_Lot_1[[#This Row],[Type]]="Details", INDEX(TBL_008_Qs_Lot_1[Max score], MATCH(1, (TBL_SQ_Qs_Lot_1[[#This Row],[Q. No.]]=TBL_008_Qs_Lot_1[Q.])*("Question"=TBL_008_Qs_Lot_1[Type]),0)), "")</f>
        <v/>
      </c>
      <c r="H67" s="296" t="str">
        <f t="array" ref="H67">IF(TBL_SQ_Qs_Lot_1[[#This Row],[Type]]="Details", INDEX(TBL_008_Qs_Lot_1[No.subs], MATCH(1, (TBL_SQ_Qs_Lot_1[[#This Row],[Q. No.]]=TBL_008_Qs_Lot_1[Q.])*("Question"=TBL_008_Qs_Lot_1[Type]),0)), "")</f>
        <v/>
      </c>
      <c r="I67" s="296" t="str">
        <f t="array" ref="I67">IF(TBL_SQ_Qs_Lot_1[[#This Row],[Type]]="Details", IF(INDEX(TBL_008_Qs_Lot_1[App_pages], MATCH(1, (TBL_SQ_Qs_Lot_1[[#This Row],[Q. No.]]=TBL_008_Qs_Lot_1[Q.])*("Question"=TBL_008_Qs_Lot_1[Type]),0))&lt;&gt;"", INDEX(TBL_008_Qs_Lot_1[App_pages], MATCH(1, (TBL_SQ_Qs_Lot_1[[#This Row],[Q. No.]]=TBL_008_Qs_Lot_1[Q.])*("Question"=TBL_008_Qs_Lot_1[Type]),0)), ""), "")</f>
        <v/>
      </c>
      <c r="J67" s="296" t="str">
        <f t="array" ref="J67">IF(TBL_SQ_Qs_Lot_1[[#This Row],[Type]]="Details", IF(INDEX(TBL_008_Qs_Lot_1[App_sub-qs], MATCH(1, (TBL_SQ_Qs_Lot_1[[#This Row],[Q. No.]]=TBL_008_Qs_Lot_1[Q.])*("Question"=TBL_008_Qs_Lot_1[Type]),0))&lt;&gt;"", INDEX(TBL_008_Qs_Lot_1[App_sub-qs], MATCH(1, (TBL_SQ_Qs_Lot_1[[#This Row],[Q. No.]]=TBL_008_Qs_Lot_1[Q.])*("Question"=TBL_008_Qs_Lot_1[Type]),0)), ""), "")</f>
        <v/>
      </c>
      <c r="K67" s="296" t="str">
        <f t="array" ref="K67">IF(TBL_SQ_Qs_Lot_1[[#This Row],[Type]]="Details", INDEX(TBL_008_Qs_Lot_1[Weighting], MATCH(1, (TBL_SQ_Qs_Lot_1[[#This Row],[Q. No.]]=TBL_008_Qs_Lot_1[Q.])*("Question"=TBL_008_Qs_Lot_1[Type]),0)), "")</f>
        <v/>
      </c>
      <c r="L67" s="296" t="str">
        <f>IF($H$4="No", "Shade", IF(OR(TBL_SQ_Qs_Lot_1[[#This Row],[Question]]="Not used
", AND(TBL_SQ_Qs_Lot_1[[#This Row],[Type]]="Details", TBL_SQ_Qs_Lot_1[[#This Row],[Subs]]=0)), "Shade", ""))</f>
        <v>Shade</v>
      </c>
    </row>
    <row r="68" spans="1:12" ht="25" hidden="1" customHeight="1">
      <c r="A68" s="239" t="s">
        <v>405</v>
      </c>
      <c r="B68" s="84" t="str">
        <f t="array" ref="B6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8" s="234"/>
      <c r="D68" s="297" t="str">
        <f>IF(TBL_SQ_Qs_Lot_1[[#This Row],[Type]]="Question", IF(OR(TBL_SQ_Qs_Lot_1[[#This Row],[Shade?]]="Shade", TBL_SQ_Qs_Lot_1[[#This Row],[Question]]="Question not used
"), "", IF(TBL_SQ_Qs_Lot_1[[#This Row],[Response]]&lt;&gt;"", "Done", "Add")), "")</f>
        <v/>
      </c>
      <c r="E68" s="407" t="s">
        <v>779</v>
      </c>
      <c r="F68" s="296" t="str">
        <f t="array" ref="F68">IF(TBL_SQ_Qs_Lot_1[[#This Row],[Type]]="Details", INDEX(TBL_008_Qs_Lot_1[Word limit], MATCH(1, (TBL_SQ_Qs_Lot_1[[#This Row],[Q. No.]]=TBL_008_Qs_Lot_1[Q.])*("Question"=TBL_008_Qs_Lot_1[Type]),0)), "")</f>
        <v/>
      </c>
      <c r="G68" s="296" t="str">
        <f t="array" ref="G68">IF(TBL_SQ_Qs_Lot_1[[#This Row],[Type]]="Details", INDEX(TBL_008_Qs_Lot_1[Max score], MATCH(1, (TBL_SQ_Qs_Lot_1[[#This Row],[Q. No.]]=TBL_008_Qs_Lot_1[Q.])*("Question"=TBL_008_Qs_Lot_1[Type]),0)), "")</f>
        <v/>
      </c>
      <c r="H68" s="296" t="str">
        <f t="array" ref="H68">IF(TBL_SQ_Qs_Lot_1[[#This Row],[Type]]="Details", INDEX(TBL_008_Qs_Lot_1[No.subs], MATCH(1, (TBL_SQ_Qs_Lot_1[[#This Row],[Q. No.]]=TBL_008_Qs_Lot_1[Q.])*("Question"=TBL_008_Qs_Lot_1[Type]),0)), "")</f>
        <v/>
      </c>
      <c r="I68" s="296" t="str">
        <f t="array" ref="I68">IF(TBL_SQ_Qs_Lot_1[[#This Row],[Type]]="Details", IF(INDEX(TBL_008_Qs_Lot_1[App_pages], MATCH(1, (TBL_SQ_Qs_Lot_1[[#This Row],[Q. No.]]=TBL_008_Qs_Lot_1[Q.])*("Question"=TBL_008_Qs_Lot_1[Type]),0))&lt;&gt;"", INDEX(TBL_008_Qs_Lot_1[App_pages], MATCH(1, (TBL_SQ_Qs_Lot_1[[#This Row],[Q. No.]]=TBL_008_Qs_Lot_1[Q.])*("Question"=TBL_008_Qs_Lot_1[Type]),0)), ""), "")</f>
        <v/>
      </c>
      <c r="J68" s="296" t="str">
        <f t="array" ref="J68">IF(TBL_SQ_Qs_Lot_1[[#This Row],[Type]]="Details", IF(INDEX(TBL_008_Qs_Lot_1[App_sub-qs], MATCH(1, (TBL_SQ_Qs_Lot_1[[#This Row],[Q. No.]]=TBL_008_Qs_Lot_1[Q.])*("Question"=TBL_008_Qs_Lot_1[Type]),0))&lt;&gt;"", INDEX(TBL_008_Qs_Lot_1[App_sub-qs], MATCH(1, (TBL_SQ_Qs_Lot_1[[#This Row],[Q. No.]]=TBL_008_Qs_Lot_1[Q.])*("Question"=TBL_008_Qs_Lot_1[Type]),0)), ""), "")</f>
        <v/>
      </c>
      <c r="K68" s="296" t="str">
        <f t="array" ref="K68">IF(TBL_SQ_Qs_Lot_1[[#This Row],[Type]]="Details", INDEX(TBL_008_Qs_Lot_1[Weighting], MATCH(1, (TBL_SQ_Qs_Lot_1[[#This Row],[Q. No.]]=TBL_008_Qs_Lot_1[Q.])*("Question"=TBL_008_Qs_Lot_1[Type]),0)), "")</f>
        <v/>
      </c>
      <c r="L68" s="296" t="str">
        <f>IF($H$4="No", "Shade", IF(OR(TBL_SQ_Qs_Lot_1[[#This Row],[Question]]="Not used
", AND(TBL_SQ_Qs_Lot_1[[#This Row],[Type]]="Details", TBL_SQ_Qs_Lot_1[[#This Row],[Subs]]=0)), "Shade", ""))</f>
        <v>Shade</v>
      </c>
    </row>
    <row r="69" spans="1:12" ht="25" hidden="1" customHeight="1">
      <c r="A69" s="239" t="s">
        <v>406</v>
      </c>
      <c r="B69" s="84" t="str">
        <f t="array" ref="B6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69" s="234"/>
      <c r="D69" s="297" t="str">
        <f>IF(TBL_SQ_Qs_Lot_1[[#This Row],[Type]]="Question", IF(OR(TBL_SQ_Qs_Lot_1[[#This Row],[Shade?]]="Shade", TBL_SQ_Qs_Lot_1[[#This Row],[Question]]="Question not used
"), "", IF(TBL_SQ_Qs_Lot_1[[#This Row],[Response]]&lt;&gt;"", "Done", "Add")), "")</f>
        <v/>
      </c>
      <c r="E69" s="407" t="s">
        <v>779</v>
      </c>
      <c r="F69" s="296" t="str">
        <f t="array" ref="F69">IF(TBL_SQ_Qs_Lot_1[[#This Row],[Type]]="Details", INDEX(TBL_008_Qs_Lot_1[Word limit], MATCH(1, (TBL_SQ_Qs_Lot_1[[#This Row],[Q. No.]]=TBL_008_Qs_Lot_1[Q.])*("Question"=TBL_008_Qs_Lot_1[Type]),0)), "")</f>
        <v/>
      </c>
      <c r="G69" s="296" t="str">
        <f t="array" ref="G69">IF(TBL_SQ_Qs_Lot_1[[#This Row],[Type]]="Details", INDEX(TBL_008_Qs_Lot_1[Max score], MATCH(1, (TBL_SQ_Qs_Lot_1[[#This Row],[Q. No.]]=TBL_008_Qs_Lot_1[Q.])*("Question"=TBL_008_Qs_Lot_1[Type]),0)), "")</f>
        <v/>
      </c>
      <c r="H69" s="296" t="str">
        <f t="array" ref="H69">IF(TBL_SQ_Qs_Lot_1[[#This Row],[Type]]="Details", INDEX(TBL_008_Qs_Lot_1[No.subs], MATCH(1, (TBL_SQ_Qs_Lot_1[[#This Row],[Q. No.]]=TBL_008_Qs_Lot_1[Q.])*("Question"=TBL_008_Qs_Lot_1[Type]),0)), "")</f>
        <v/>
      </c>
      <c r="I69" s="296" t="str">
        <f t="array" ref="I69">IF(TBL_SQ_Qs_Lot_1[[#This Row],[Type]]="Details", IF(INDEX(TBL_008_Qs_Lot_1[App_pages], MATCH(1, (TBL_SQ_Qs_Lot_1[[#This Row],[Q. No.]]=TBL_008_Qs_Lot_1[Q.])*("Question"=TBL_008_Qs_Lot_1[Type]),0))&lt;&gt;"", INDEX(TBL_008_Qs_Lot_1[App_pages], MATCH(1, (TBL_SQ_Qs_Lot_1[[#This Row],[Q. No.]]=TBL_008_Qs_Lot_1[Q.])*("Question"=TBL_008_Qs_Lot_1[Type]),0)), ""), "")</f>
        <v/>
      </c>
      <c r="J69" s="296" t="str">
        <f t="array" ref="J69">IF(TBL_SQ_Qs_Lot_1[[#This Row],[Type]]="Details", IF(INDEX(TBL_008_Qs_Lot_1[App_sub-qs], MATCH(1, (TBL_SQ_Qs_Lot_1[[#This Row],[Q. No.]]=TBL_008_Qs_Lot_1[Q.])*("Question"=TBL_008_Qs_Lot_1[Type]),0))&lt;&gt;"", INDEX(TBL_008_Qs_Lot_1[App_sub-qs], MATCH(1, (TBL_SQ_Qs_Lot_1[[#This Row],[Q. No.]]=TBL_008_Qs_Lot_1[Q.])*("Question"=TBL_008_Qs_Lot_1[Type]),0)), ""), "")</f>
        <v/>
      </c>
      <c r="K69" s="296" t="str">
        <f t="array" ref="K69">IF(TBL_SQ_Qs_Lot_1[[#This Row],[Type]]="Details", INDEX(TBL_008_Qs_Lot_1[Weighting], MATCH(1, (TBL_SQ_Qs_Lot_1[[#This Row],[Q. No.]]=TBL_008_Qs_Lot_1[Q.])*("Question"=TBL_008_Qs_Lot_1[Type]),0)), "")</f>
        <v/>
      </c>
      <c r="L69" s="296" t="str">
        <f>IF($H$4="No", "Shade", IF(OR(TBL_SQ_Qs_Lot_1[[#This Row],[Question]]="Not used
", AND(TBL_SQ_Qs_Lot_1[[#This Row],[Type]]="Details", TBL_SQ_Qs_Lot_1[[#This Row],[Subs]]=0)), "Shade", ""))</f>
        <v>Shade</v>
      </c>
    </row>
    <row r="70" spans="1:12" ht="25" hidden="1" customHeight="1">
      <c r="A70" s="239" t="s">
        <v>407</v>
      </c>
      <c r="B70" s="84" t="str">
        <f t="array" ref="B7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0" s="234"/>
      <c r="D70" s="297" t="str">
        <f>IF(TBL_SQ_Qs_Lot_1[[#This Row],[Type]]="Question", IF(OR(TBL_SQ_Qs_Lot_1[[#This Row],[Shade?]]="Shade", TBL_SQ_Qs_Lot_1[[#This Row],[Question]]="Question not used
"), "", IF(TBL_SQ_Qs_Lot_1[[#This Row],[Response]]&lt;&gt;"", "Done", "Add")), "")</f>
        <v/>
      </c>
      <c r="E70" s="407" t="s">
        <v>779</v>
      </c>
      <c r="F70" s="296" t="str">
        <f t="array" ref="F70">IF(TBL_SQ_Qs_Lot_1[[#This Row],[Type]]="Details", INDEX(TBL_008_Qs_Lot_1[Word limit], MATCH(1, (TBL_SQ_Qs_Lot_1[[#This Row],[Q. No.]]=TBL_008_Qs_Lot_1[Q.])*("Question"=TBL_008_Qs_Lot_1[Type]),0)), "")</f>
        <v/>
      </c>
      <c r="G70" s="296" t="str">
        <f t="array" ref="G70">IF(TBL_SQ_Qs_Lot_1[[#This Row],[Type]]="Details", INDEX(TBL_008_Qs_Lot_1[Max score], MATCH(1, (TBL_SQ_Qs_Lot_1[[#This Row],[Q. No.]]=TBL_008_Qs_Lot_1[Q.])*("Question"=TBL_008_Qs_Lot_1[Type]),0)), "")</f>
        <v/>
      </c>
      <c r="H70" s="296" t="str">
        <f t="array" ref="H70">IF(TBL_SQ_Qs_Lot_1[[#This Row],[Type]]="Details", INDEX(TBL_008_Qs_Lot_1[No.subs], MATCH(1, (TBL_SQ_Qs_Lot_1[[#This Row],[Q. No.]]=TBL_008_Qs_Lot_1[Q.])*("Question"=TBL_008_Qs_Lot_1[Type]),0)), "")</f>
        <v/>
      </c>
      <c r="I70" s="296" t="str">
        <f t="array" ref="I70">IF(TBL_SQ_Qs_Lot_1[[#This Row],[Type]]="Details", IF(INDEX(TBL_008_Qs_Lot_1[App_pages], MATCH(1, (TBL_SQ_Qs_Lot_1[[#This Row],[Q. No.]]=TBL_008_Qs_Lot_1[Q.])*("Question"=TBL_008_Qs_Lot_1[Type]),0))&lt;&gt;"", INDEX(TBL_008_Qs_Lot_1[App_pages], MATCH(1, (TBL_SQ_Qs_Lot_1[[#This Row],[Q. No.]]=TBL_008_Qs_Lot_1[Q.])*("Question"=TBL_008_Qs_Lot_1[Type]),0)), ""), "")</f>
        <v/>
      </c>
      <c r="J70" s="296" t="str">
        <f t="array" ref="J70">IF(TBL_SQ_Qs_Lot_1[[#This Row],[Type]]="Details", IF(INDEX(TBL_008_Qs_Lot_1[App_sub-qs], MATCH(1, (TBL_SQ_Qs_Lot_1[[#This Row],[Q. No.]]=TBL_008_Qs_Lot_1[Q.])*("Question"=TBL_008_Qs_Lot_1[Type]),0))&lt;&gt;"", INDEX(TBL_008_Qs_Lot_1[App_sub-qs], MATCH(1, (TBL_SQ_Qs_Lot_1[[#This Row],[Q. No.]]=TBL_008_Qs_Lot_1[Q.])*("Question"=TBL_008_Qs_Lot_1[Type]),0)), ""), "")</f>
        <v/>
      </c>
      <c r="K70" s="296" t="str">
        <f t="array" ref="K70">IF(TBL_SQ_Qs_Lot_1[[#This Row],[Type]]="Details", INDEX(TBL_008_Qs_Lot_1[Weighting], MATCH(1, (TBL_SQ_Qs_Lot_1[[#This Row],[Q. No.]]=TBL_008_Qs_Lot_1[Q.])*("Question"=TBL_008_Qs_Lot_1[Type]),0)), "")</f>
        <v/>
      </c>
      <c r="L70" s="296" t="str">
        <f>IF($H$4="No", "Shade", IF(OR(TBL_SQ_Qs_Lot_1[[#This Row],[Question]]="Not used
", AND(TBL_SQ_Qs_Lot_1[[#This Row],[Type]]="Details", TBL_SQ_Qs_Lot_1[[#This Row],[Subs]]=0)), "Shade", ""))</f>
        <v>Shade</v>
      </c>
    </row>
    <row r="71" spans="1:12" ht="25" hidden="1" customHeight="1">
      <c r="A71" s="239" t="s">
        <v>408</v>
      </c>
      <c r="B71" s="84" t="str">
        <f t="array" ref="B7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1" s="234"/>
      <c r="D71" s="297" t="str">
        <f>IF(TBL_SQ_Qs_Lot_1[[#This Row],[Type]]="Question", IF(OR(TBL_SQ_Qs_Lot_1[[#This Row],[Shade?]]="Shade", TBL_SQ_Qs_Lot_1[[#This Row],[Question]]="Question not used
"), "", IF(TBL_SQ_Qs_Lot_1[[#This Row],[Response]]&lt;&gt;"", "Done", "Add")), "")</f>
        <v/>
      </c>
      <c r="E71" s="407" t="s">
        <v>779</v>
      </c>
      <c r="F71" s="296" t="str">
        <f t="array" ref="F71">IF(TBL_SQ_Qs_Lot_1[[#This Row],[Type]]="Details", INDEX(TBL_008_Qs_Lot_1[Word limit], MATCH(1, (TBL_SQ_Qs_Lot_1[[#This Row],[Q. No.]]=TBL_008_Qs_Lot_1[Q.])*("Question"=TBL_008_Qs_Lot_1[Type]),0)), "")</f>
        <v/>
      </c>
      <c r="G71" s="296" t="str">
        <f t="array" ref="G71">IF(TBL_SQ_Qs_Lot_1[[#This Row],[Type]]="Details", INDEX(TBL_008_Qs_Lot_1[Max score], MATCH(1, (TBL_SQ_Qs_Lot_1[[#This Row],[Q. No.]]=TBL_008_Qs_Lot_1[Q.])*("Question"=TBL_008_Qs_Lot_1[Type]),0)), "")</f>
        <v/>
      </c>
      <c r="H71" s="296" t="str">
        <f t="array" ref="H71">IF(TBL_SQ_Qs_Lot_1[[#This Row],[Type]]="Details", INDEX(TBL_008_Qs_Lot_1[No.subs], MATCH(1, (TBL_SQ_Qs_Lot_1[[#This Row],[Q. No.]]=TBL_008_Qs_Lot_1[Q.])*("Question"=TBL_008_Qs_Lot_1[Type]),0)), "")</f>
        <v/>
      </c>
      <c r="I71" s="296" t="str">
        <f t="array" ref="I71">IF(TBL_SQ_Qs_Lot_1[[#This Row],[Type]]="Details", IF(INDEX(TBL_008_Qs_Lot_1[App_pages], MATCH(1, (TBL_SQ_Qs_Lot_1[[#This Row],[Q. No.]]=TBL_008_Qs_Lot_1[Q.])*("Question"=TBL_008_Qs_Lot_1[Type]),0))&lt;&gt;"", INDEX(TBL_008_Qs_Lot_1[App_pages], MATCH(1, (TBL_SQ_Qs_Lot_1[[#This Row],[Q. No.]]=TBL_008_Qs_Lot_1[Q.])*("Question"=TBL_008_Qs_Lot_1[Type]),0)), ""), "")</f>
        <v/>
      </c>
      <c r="J71" s="296" t="str">
        <f t="array" ref="J71">IF(TBL_SQ_Qs_Lot_1[[#This Row],[Type]]="Details", IF(INDEX(TBL_008_Qs_Lot_1[App_sub-qs], MATCH(1, (TBL_SQ_Qs_Lot_1[[#This Row],[Q. No.]]=TBL_008_Qs_Lot_1[Q.])*("Question"=TBL_008_Qs_Lot_1[Type]),0))&lt;&gt;"", INDEX(TBL_008_Qs_Lot_1[App_sub-qs], MATCH(1, (TBL_SQ_Qs_Lot_1[[#This Row],[Q. No.]]=TBL_008_Qs_Lot_1[Q.])*("Question"=TBL_008_Qs_Lot_1[Type]),0)), ""), "")</f>
        <v/>
      </c>
      <c r="K71" s="296" t="str">
        <f t="array" ref="K71">IF(TBL_SQ_Qs_Lot_1[[#This Row],[Type]]="Details", INDEX(TBL_008_Qs_Lot_1[Weighting], MATCH(1, (TBL_SQ_Qs_Lot_1[[#This Row],[Q. No.]]=TBL_008_Qs_Lot_1[Q.])*("Question"=TBL_008_Qs_Lot_1[Type]),0)), "")</f>
        <v/>
      </c>
      <c r="L71" s="296" t="str">
        <f>IF($H$4="No", "Shade", IF(OR(TBL_SQ_Qs_Lot_1[[#This Row],[Question]]="Not used
", AND(TBL_SQ_Qs_Lot_1[[#This Row],[Type]]="Details", TBL_SQ_Qs_Lot_1[[#This Row],[Subs]]=0)), "Shade", ""))</f>
        <v>Shade</v>
      </c>
    </row>
    <row r="72" spans="1:12" ht="25" hidden="1" customHeight="1">
      <c r="A72" s="232" t="s">
        <v>409</v>
      </c>
      <c r="B72" s="86" t="str">
        <f t="array" ref="B7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2" s="235"/>
      <c r="D72" s="297" t="str">
        <f>IF(TBL_SQ_Qs_Lot_1[[#This Row],[Type]]="Question", IF(OR(TBL_SQ_Qs_Lot_1[[#This Row],[Shade?]]="Shade", TBL_SQ_Qs_Lot_1[[#This Row],[Question]]="Question not used
"), "", IF(TBL_SQ_Qs_Lot_1[[#This Row],[Response]]&lt;&gt;"", "Done", "Add")), "")</f>
        <v/>
      </c>
      <c r="E72" s="407" t="s">
        <v>779</v>
      </c>
      <c r="F72" s="296" t="str">
        <f t="array" ref="F72">IF(TBL_SQ_Qs_Lot_1[[#This Row],[Type]]="Details", INDEX(TBL_008_Qs_Lot_1[Word limit], MATCH(1, (TBL_SQ_Qs_Lot_1[[#This Row],[Q. No.]]=TBL_008_Qs_Lot_1[Q.])*("Question"=TBL_008_Qs_Lot_1[Type]),0)), "")</f>
        <v/>
      </c>
      <c r="G72" s="296" t="str">
        <f t="array" ref="G72">IF(TBL_SQ_Qs_Lot_1[[#This Row],[Type]]="Details", INDEX(TBL_008_Qs_Lot_1[Max score], MATCH(1, (TBL_SQ_Qs_Lot_1[[#This Row],[Q. No.]]=TBL_008_Qs_Lot_1[Q.])*("Question"=TBL_008_Qs_Lot_1[Type]),0)), "")</f>
        <v/>
      </c>
      <c r="H72" s="296" t="str">
        <f t="array" ref="H72">IF(TBL_SQ_Qs_Lot_1[[#This Row],[Type]]="Details", INDEX(TBL_008_Qs_Lot_1[No.subs], MATCH(1, (TBL_SQ_Qs_Lot_1[[#This Row],[Q. No.]]=TBL_008_Qs_Lot_1[Q.])*("Question"=TBL_008_Qs_Lot_1[Type]),0)), "")</f>
        <v/>
      </c>
      <c r="I72" s="296" t="str">
        <f t="array" ref="I72">IF(TBL_SQ_Qs_Lot_1[[#This Row],[Type]]="Details", IF(INDEX(TBL_008_Qs_Lot_1[App_pages], MATCH(1, (TBL_SQ_Qs_Lot_1[[#This Row],[Q. No.]]=TBL_008_Qs_Lot_1[Q.])*("Question"=TBL_008_Qs_Lot_1[Type]),0))&lt;&gt;"", INDEX(TBL_008_Qs_Lot_1[App_pages], MATCH(1, (TBL_SQ_Qs_Lot_1[[#This Row],[Q. No.]]=TBL_008_Qs_Lot_1[Q.])*("Question"=TBL_008_Qs_Lot_1[Type]),0)), ""), "")</f>
        <v/>
      </c>
      <c r="J72" s="296" t="str">
        <f t="array" ref="J72">IF(TBL_SQ_Qs_Lot_1[[#This Row],[Type]]="Details", IF(INDEX(TBL_008_Qs_Lot_1[App_sub-qs], MATCH(1, (TBL_SQ_Qs_Lot_1[[#This Row],[Q. No.]]=TBL_008_Qs_Lot_1[Q.])*("Question"=TBL_008_Qs_Lot_1[Type]),0))&lt;&gt;"", INDEX(TBL_008_Qs_Lot_1[App_sub-qs], MATCH(1, (TBL_SQ_Qs_Lot_1[[#This Row],[Q. No.]]=TBL_008_Qs_Lot_1[Q.])*("Question"=TBL_008_Qs_Lot_1[Type]),0)), ""), "")</f>
        <v/>
      </c>
      <c r="K72" s="296" t="str">
        <f t="array" ref="K72">IF(TBL_SQ_Qs_Lot_1[[#This Row],[Type]]="Details", INDEX(TBL_008_Qs_Lot_1[Weighting], MATCH(1, (TBL_SQ_Qs_Lot_1[[#This Row],[Q. No.]]=TBL_008_Qs_Lot_1[Q.])*("Question"=TBL_008_Qs_Lot_1[Type]),0)), "")</f>
        <v/>
      </c>
      <c r="L72" s="296" t="str">
        <f>IF($H$4="No", "Shade", IF(OR(TBL_SQ_Qs_Lot_1[[#This Row],[Question]]="Not used
", AND(TBL_SQ_Qs_Lot_1[[#This Row],[Type]]="Details", TBL_SQ_Qs_Lot_1[[#This Row],[Subs]]=0)), "Shade", ""))</f>
        <v>Shade</v>
      </c>
    </row>
    <row r="73" spans="1:12" ht="25" hidden="1" customHeight="1">
      <c r="A73" s="237" t="s">
        <v>410</v>
      </c>
      <c r="B73" s="219" t="str">
        <f t="array" ref="B7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3" s="297"/>
      <c r="D73" s="297" t="str">
        <f>IF(TBL_SQ_Qs_Lot_1[[#This Row],[Type]]="Question", IF(OR(TBL_SQ_Qs_Lot_1[[#This Row],[Shade?]]="Shade", TBL_SQ_Qs_Lot_1[[#This Row],[Question]]="Question not used
"), "", IF(TBL_SQ_Qs_Lot_1[[#This Row],[Response]]&lt;&gt;"", "Done", "Add")), "")</f>
        <v/>
      </c>
      <c r="E73" s="407" t="s">
        <v>209</v>
      </c>
      <c r="F73" s="296" t="str">
        <f t="array" ref="F73">IF(TBL_SQ_Qs_Lot_1[[#This Row],[Type]]="Details", INDEX(TBL_008_Qs_Lot_1[Word limit], MATCH(1, (TBL_SQ_Qs_Lot_1[[#This Row],[Q. No.]]=TBL_008_Qs_Lot_1[Q.])*("Question"=TBL_008_Qs_Lot_1[Type]),0)), "")</f>
        <v/>
      </c>
      <c r="G73" s="296" t="str">
        <f t="array" ref="G73">IF(TBL_SQ_Qs_Lot_1[[#This Row],[Type]]="Details", INDEX(TBL_008_Qs_Lot_1[Max score], MATCH(1, (TBL_SQ_Qs_Lot_1[[#This Row],[Q. No.]]=TBL_008_Qs_Lot_1[Q.])*("Question"=TBL_008_Qs_Lot_1[Type]),0)), "")</f>
        <v/>
      </c>
      <c r="H73" s="296" t="str">
        <f t="array" ref="H73">IF(TBL_SQ_Qs_Lot_1[[#This Row],[Type]]="Details", INDEX(TBL_008_Qs_Lot_1[No.subs], MATCH(1, (TBL_SQ_Qs_Lot_1[[#This Row],[Q. No.]]=TBL_008_Qs_Lot_1[Q.])*("Question"=TBL_008_Qs_Lot_1[Type]),0)), "")</f>
        <v/>
      </c>
      <c r="I73" s="296" t="str">
        <f t="array" ref="I73">IF(TBL_SQ_Qs_Lot_1[[#This Row],[Type]]="Details", IF(INDEX(TBL_008_Qs_Lot_1[App_pages], MATCH(1, (TBL_SQ_Qs_Lot_1[[#This Row],[Q. No.]]=TBL_008_Qs_Lot_1[Q.])*("Question"=TBL_008_Qs_Lot_1[Type]),0))&lt;&gt;"", INDEX(TBL_008_Qs_Lot_1[App_pages], MATCH(1, (TBL_SQ_Qs_Lot_1[[#This Row],[Q. No.]]=TBL_008_Qs_Lot_1[Q.])*("Question"=TBL_008_Qs_Lot_1[Type]),0)), ""), "")</f>
        <v/>
      </c>
      <c r="J73" s="296" t="str">
        <f t="array" ref="J73">IF(TBL_SQ_Qs_Lot_1[[#This Row],[Type]]="Details", IF(INDEX(TBL_008_Qs_Lot_1[App_sub-qs], MATCH(1, (TBL_SQ_Qs_Lot_1[[#This Row],[Q. No.]]=TBL_008_Qs_Lot_1[Q.])*("Question"=TBL_008_Qs_Lot_1[Type]),0))&lt;&gt;"", INDEX(TBL_008_Qs_Lot_1[App_sub-qs], MATCH(1, (TBL_SQ_Qs_Lot_1[[#This Row],[Q. No.]]=TBL_008_Qs_Lot_1[Q.])*("Question"=TBL_008_Qs_Lot_1[Type]),0)), ""), "")</f>
        <v/>
      </c>
      <c r="K73" s="296" t="str">
        <f t="array" ref="K73">IF(TBL_SQ_Qs_Lot_1[[#This Row],[Type]]="Details", INDEX(TBL_008_Qs_Lot_1[Weighting], MATCH(1, (TBL_SQ_Qs_Lot_1[[#This Row],[Q. No.]]=TBL_008_Qs_Lot_1[Q.])*("Question"=TBL_008_Qs_Lot_1[Type]),0)), "")</f>
        <v/>
      </c>
      <c r="L73" s="296" t="str">
        <f>IF($H$4="No", "Shade", IF(OR(TBL_SQ_Qs_Lot_1[[#This Row],[Question]]="Not used
", AND(TBL_SQ_Qs_Lot_1[[#This Row],[Type]]="Details", TBL_SQ_Qs_Lot_1[[#This Row],[Subs]]=0)), "Shade", ""))</f>
        <v>Shade</v>
      </c>
    </row>
    <row r="74" spans="1:12" ht="25" hidden="1" customHeight="1">
      <c r="A74" s="238" t="s">
        <v>410</v>
      </c>
      <c r="B74" s="220" t="str">
        <f t="array" ref="B7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Q6.5 should have a word count of not more than 0 words.
The maximum score for this question is 0.00 marks (0.00 elements x 5.00 marks)
</v>
      </c>
      <c r="C74" s="233"/>
      <c r="D74" s="297" t="str">
        <f>IF(TBL_SQ_Qs_Lot_1[[#This Row],[Type]]="Question", IF(OR(TBL_SQ_Qs_Lot_1[[#This Row],[Shade?]]="Shade", TBL_SQ_Qs_Lot_1[[#This Row],[Question]]="Question not used
"), "", IF(TBL_SQ_Qs_Lot_1[[#This Row],[Response]]&lt;&gt;"", "Done", "Add")), "")</f>
        <v/>
      </c>
      <c r="E74" s="407" t="s">
        <v>798</v>
      </c>
      <c r="F74" s="296">
        <f t="array" ref="F74">IF(TBL_SQ_Qs_Lot_1[[#This Row],[Type]]="Details", INDEX(TBL_008_Qs_Lot_1[Word limit], MATCH(1, (TBL_SQ_Qs_Lot_1[[#This Row],[Q. No.]]=TBL_008_Qs_Lot_1[Q.])*("Question"=TBL_008_Qs_Lot_1[Type]),0)), "")</f>
        <v>0</v>
      </c>
      <c r="G74" s="296">
        <f t="array" ref="G74">IF(TBL_SQ_Qs_Lot_1[[#This Row],[Type]]="Details", INDEX(TBL_008_Qs_Lot_1[Max score], MATCH(1, (TBL_SQ_Qs_Lot_1[[#This Row],[Q. No.]]=TBL_008_Qs_Lot_1[Q.])*("Question"=TBL_008_Qs_Lot_1[Type]),0)), "")</f>
        <v>0</v>
      </c>
      <c r="H74" s="296">
        <f t="array" ref="H74">IF(TBL_SQ_Qs_Lot_1[[#This Row],[Type]]="Details", INDEX(TBL_008_Qs_Lot_1[No.subs], MATCH(1, (TBL_SQ_Qs_Lot_1[[#This Row],[Q. No.]]=TBL_008_Qs_Lot_1[Q.])*("Question"=TBL_008_Qs_Lot_1[Type]),0)), "")</f>
        <v>0</v>
      </c>
      <c r="I74" s="296" t="str">
        <f t="array" ref="I74">IF(TBL_SQ_Qs_Lot_1[[#This Row],[Type]]="Details", IF(INDEX(TBL_008_Qs_Lot_1[App_pages], MATCH(1, (TBL_SQ_Qs_Lot_1[[#This Row],[Q. No.]]=TBL_008_Qs_Lot_1[Q.])*("Question"=TBL_008_Qs_Lot_1[Type]),0))&lt;&gt;"", INDEX(TBL_008_Qs_Lot_1[App_pages], MATCH(1, (TBL_SQ_Qs_Lot_1[[#This Row],[Q. No.]]=TBL_008_Qs_Lot_1[Q.])*("Question"=TBL_008_Qs_Lot_1[Type]),0)), ""), "")</f>
        <v/>
      </c>
      <c r="J74" s="296" t="str">
        <f t="array" ref="J74">IF(TBL_SQ_Qs_Lot_1[[#This Row],[Type]]="Details", IF(INDEX(TBL_008_Qs_Lot_1[App_sub-qs], MATCH(1, (TBL_SQ_Qs_Lot_1[[#This Row],[Q. No.]]=TBL_008_Qs_Lot_1[Q.])*("Question"=TBL_008_Qs_Lot_1[Type]),0))&lt;&gt;"", INDEX(TBL_008_Qs_Lot_1[App_sub-qs], MATCH(1, (TBL_SQ_Qs_Lot_1[[#This Row],[Q. No.]]=TBL_008_Qs_Lot_1[Q.])*("Question"=TBL_008_Qs_Lot_1[Type]),0)), ""), "")</f>
        <v/>
      </c>
      <c r="K74" s="296" t="str">
        <f t="array" ref="K74">IF(TBL_SQ_Qs_Lot_1[[#This Row],[Type]]="Details", INDEX(TBL_008_Qs_Lot_1[Weighting], MATCH(1, (TBL_SQ_Qs_Lot_1[[#This Row],[Q. No.]]=TBL_008_Qs_Lot_1[Q.])*("Question"=TBL_008_Qs_Lot_1[Type]),0)), "")</f>
        <v>N/A</v>
      </c>
      <c r="L74" s="296" t="str">
        <f>IF($H$4="No", "Shade", IF(OR(TBL_SQ_Qs_Lot_1[[#This Row],[Question]]="Not used
", AND(TBL_SQ_Qs_Lot_1[[#This Row],[Type]]="Details", TBL_SQ_Qs_Lot_1[[#This Row],[Subs]]=0)), "Shade", ""))</f>
        <v>Shade</v>
      </c>
    </row>
    <row r="75" spans="1:12" ht="25" hidden="1" customHeight="1">
      <c r="A75" s="239" t="s">
        <v>411</v>
      </c>
      <c r="B75" s="84" t="str">
        <f t="array" ref="B7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5" s="234"/>
      <c r="D75" s="297" t="str">
        <f>IF(TBL_SQ_Qs_Lot_1[[#This Row],[Type]]="Question", IF(OR(TBL_SQ_Qs_Lot_1[[#This Row],[Shade?]]="Shade", TBL_SQ_Qs_Lot_1[[#This Row],[Question]]="Question not used
"), "", IF(TBL_SQ_Qs_Lot_1[[#This Row],[Response]]&lt;&gt;"", "Done", "Add")), "")</f>
        <v/>
      </c>
      <c r="E75" s="407" t="s">
        <v>779</v>
      </c>
      <c r="F75" s="296" t="str">
        <f t="array" ref="F75">IF(TBL_SQ_Qs_Lot_1[[#This Row],[Type]]="Details", INDEX(TBL_008_Qs_Lot_1[Word limit], MATCH(1, (TBL_SQ_Qs_Lot_1[[#This Row],[Q. No.]]=TBL_008_Qs_Lot_1[Q.])*("Question"=TBL_008_Qs_Lot_1[Type]),0)), "")</f>
        <v/>
      </c>
      <c r="G75" s="296" t="str">
        <f t="array" ref="G75">IF(TBL_SQ_Qs_Lot_1[[#This Row],[Type]]="Details", INDEX(TBL_008_Qs_Lot_1[Max score], MATCH(1, (TBL_SQ_Qs_Lot_1[[#This Row],[Q. No.]]=TBL_008_Qs_Lot_1[Q.])*("Question"=TBL_008_Qs_Lot_1[Type]),0)), "")</f>
        <v/>
      </c>
      <c r="H75" s="296" t="str">
        <f t="array" ref="H75">IF(TBL_SQ_Qs_Lot_1[[#This Row],[Type]]="Details", INDEX(TBL_008_Qs_Lot_1[No.subs], MATCH(1, (TBL_SQ_Qs_Lot_1[[#This Row],[Q. No.]]=TBL_008_Qs_Lot_1[Q.])*("Question"=TBL_008_Qs_Lot_1[Type]),0)), "")</f>
        <v/>
      </c>
      <c r="I75" s="296" t="str">
        <f t="array" ref="I75">IF(TBL_SQ_Qs_Lot_1[[#This Row],[Type]]="Details", IF(INDEX(TBL_008_Qs_Lot_1[App_pages], MATCH(1, (TBL_SQ_Qs_Lot_1[[#This Row],[Q. No.]]=TBL_008_Qs_Lot_1[Q.])*("Question"=TBL_008_Qs_Lot_1[Type]),0))&lt;&gt;"", INDEX(TBL_008_Qs_Lot_1[App_pages], MATCH(1, (TBL_SQ_Qs_Lot_1[[#This Row],[Q. No.]]=TBL_008_Qs_Lot_1[Q.])*("Question"=TBL_008_Qs_Lot_1[Type]),0)), ""), "")</f>
        <v/>
      </c>
      <c r="J75" s="296" t="str">
        <f t="array" ref="J75">IF(TBL_SQ_Qs_Lot_1[[#This Row],[Type]]="Details", IF(INDEX(TBL_008_Qs_Lot_1[App_sub-qs], MATCH(1, (TBL_SQ_Qs_Lot_1[[#This Row],[Q. No.]]=TBL_008_Qs_Lot_1[Q.])*("Question"=TBL_008_Qs_Lot_1[Type]),0))&lt;&gt;"", INDEX(TBL_008_Qs_Lot_1[App_sub-qs], MATCH(1, (TBL_SQ_Qs_Lot_1[[#This Row],[Q. No.]]=TBL_008_Qs_Lot_1[Q.])*("Question"=TBL_008_Qs_Lot_1[Type]),0)), ""), "")</f>
        <v/>
      </c>
      <c r="K75" s="296" t="str">
        <f t="array" ref="K75">IF(TBL_SQ_Qs_Lot_1[[#This Row],[Type]]="Details", INDEX(TBL_008_Qs_Lot_1[Weighting], MATCH(1, (TBL_SQ_Qs_Lot_1[[#This Row],[Q. No.]]=TBL_008_Qs_Lot_1[Q.])*("Question"=TBL_008_Qs_Lot_1[Type]),0)), "")</f>
        <v/>
      </c>
      <c r="L75" s="296" t="str">
        <f>IF($H$4="No", "Shade", IF(OR(TBL_SQ_Qs_Lot_1[[#This Row],[Question]]="Not used
", AND(TBL_SQ_Qs_Lot_1[[#This Row],[Type]]="Details", TBL_SQ_Qs_Lot_1[[#This Row],[Subs]]=0)), "Shade", ""))</f>
        <v>Shade</v>
      </c>
    </row>
    <row r="76" spans="1:12" ht="25" hidden="1" customHeight="1">
      <c r="A76" s="239" t="s">
        <v>412</v>
      </c>
      <c r="B76" s="84" t="str">
        <f t="array" ref="B7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6" s="234"/>
      <c r="D76" s="297" t="str">
        <f>IF(TBL_SQ_Qs_Lot_1[[#This Row],[Type]]="Question", IF(OR(TBL_SQ_Qs_Lot_1[[#This Row],[Shade?]]="Shade", TBL_SQ_Qs_Lot_1[[#This Row],[Question]]="Question not used
"), "", IF(TBL_SQ_Qs_Lot_1[[#This Row],[Response]]&lt;&gt;"", "Done", "Add")), "")</f>
        <v/>
      </c>
      <c r="E76" s="407" t="s">
        <v>779</v>
      </c>
      <c r="F76" s="296" t="str">
        <f t="array" ref="F76">IF(TBL_SQ_Qs_Lot_1[[#This Row],[Type]]="Details", INDEX(TBL_008_Qs_Lot_1[Word limit], MATCH(1, (TBL_SQ_Qs_Lot_1[[#This Row],[Q. No.]]=TBL_008_Qs_Lot_1[Q.])*("Question"=TBL_008_Qs_Lot_1[Type]),0)), "")</f>
        <v/>
      </c>
      <c r="G76" s="296" t="str">
        <f t="array" ref="G76">IF(TBL_SQ_Qs_Lot_1[[#This Row],[Type]]="Details", INDEX(TBL_008_Qs_Lot_1[Max score], MATCH(1, (TBL_SQ_Qs_Lot_1[[#This Row],[Q. No.]]=TBL_008_Qs_Lot_1[Q.])*("Question"=TBL_008_Qs_Lot_1[Type]),0)), "")</f>
        <v/>
      </c>
      <c r="H76" s="296" t="str">
        <f t="array" ref="H76">IF(TBL_SQ_Qs_Lot_1[[#This Row],[Type]]="Details", INDEX(TBL_008_Qs_Lot_1[No.subs], MATCH(1, (TBL_SQ_Qs_Lot_1[[#This Row],[Q. No.]]=TBL_008_Qs_Lot_1[Q.])*("Question"=TBL_008_Qs_Lot_1[Type]),0)), "")</f>
        <v/>
      </c>
      <c r="I76" s="296" t="str">
        <f t="array" ref="I76">IF(TBL_SQ_Qs_Lot_1[[#This Row],[Type]]="Details", IF(INDEX(TBL_008_Qs_Lot_1[App_pages], MATCH(1, (TBL_SQ_Qs_Lot_1[[#This Row],[Q. No.]]=TBL_008_Qs_Lot_1[Q.])*("Question"=TBL_008_Qs_Lot_1[Type]),0))&lt;&gt;"", INDEX(TBL_008_Qs_Lot_1[App_pages], MATCH(1, (TBL_SQ_Qs_Lot_1[[#This Row],[Q. No.]]=TBL_008_Qs_Lot_1[Q.])*("Question"=TBL_008_Qs_Lot_1[Type]),0)), ""), "")</f>
        <v/>
      </c>
      <c r="J76" s="296" t="str">
        <f t="array" ref="J76">IF(TBL_SQ_Qs_Lot_1[[#This Row],[Type]]="Details", IF(INDEX(TBL_008_Qs_Lot_1[App_sub-qs], MATCH(1, (TBL_SQ_Qs_Lot_1[[#This Row],[Q. No.]]=TBL_008_Qs_Lot_1[Q.])*("Question"=TBL_008_Qs_Lot_1[Type]),0))&lt;&gt;"", INDEX(TBL_008_Qs_Lot_1[App_sub-qs], MATCH(1, (TBL_SQ_Qs_Lot_1[[#This Row],[Q. No.]]=TBL_008_Qs_Lot_1[Q.])*("Question"=TBL_008_Qs_Lot_1[Type]),0)), ""), "")</f>
        <v/>
      </c>
      <c r="K76" s="296" t="str">
        <f t="array" ref="K76">IF(TBL_SQ_Qs_Lot_1[[#This Row],[Type]]="Details", INDEX(TBL_008_Qs_Lot_1[Weighting], MATCH(1, (TBL_SQ_Qs_Lot_1[[#This Row],[Q. No.]]=TBL_008_Qs_Lot_1[Q.])*("Question"=TBL_008_Qs_Lot_1[Type]),0)), "")</f>
        <v/>
      </c>
      <c r="L76" s="296" t="str">
        <f>IF($H$4="No", "Shade", IF(OR(TBL_SQ_Qs_Lot_1[[#This Row],[Question]]="Not used
", AND(TBL_SQ_Qs_Lot_1[[#This Row],[Type]]="Details", TBL_SQ_Qs_Lot_1[[#This Row],[Subs]]=0)), "Shade", ""))</f>
        <v>Shade</v>
      </c>
    </row>
    <row r="77" spans="1:12" ht="25" hidden="1" customHeight="1">
      <c r="A77" s="239" t="s">
        <v>413</v>
      </c>
      <c r="B77" s="84" t="str">
        <f t="array" ref="B7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7" s="234"/>
      <c r="D77" s="297" t="str">
        <f>IF(TBL_SQ_Qs_Lot_1[[#This Row],[Type]]="Question", IF(OR(TBL_SQ_Qs_Lot_1[[#This Row],[Shade?]]="Shade", TBL_SQ_Qs_Lot_1[[#This Row],[Question]]="Question not used
"), "", IF(TBL_SQ_Qs_Lot_1[[#This Row],[Response]]&lt;&gt;"", "Done", "Add")), "")</f>
        <v/>
      </c>
      <c r="E77" s="407" t="s">
        <v>779</v>
      </c>
      <c r="F77" s="296" t="str">
        <f t="array" ref="F77">IF(TBL_SQ_Qs_Lot_1[[#This Row],[Type]]="Details", INDEX(TBL_008_Qs_Lot_1[Word limit], MATCH(1, (TBL_SQ_Qs_Lot_1[[#This Row],[Q. No.]]=TBL_008_Qs_Lot_1[Q.])*("Question"=TBL_008_Qs_Lot_1[Type]),0)), "")</f>
        <v/>
      </c>
      <c r="G77" s="296" t="str">
        <f t="array" ref="G77">IF(TBL_SQ_Qs_Lot_1[[#This Row],[Type]]="Details", INDEX(TBL_008_Qs_Lot_1[Max score], MATCH(1, (TBL_SQ_Qs_Lot_1[[#This Row],[Q. No.]]=TBL_008_Qs_Lot_1[Q.])*("Question"=TBL_008_Qs_Lot_1[Type]),0)), "")</f>
        <v/>
      </c>
      <c r="H77" s="296" t="str">
        <f t="array" ref="H77">IF(TBL_SQ_Qs_Lot_1[[#This Row],[Type]]="Details", INDEX(TBL_008_Qs_Lot_1[No.subs], MATCH(1, (TBL_SQ_Qs_Lot_1[[#This Row],[Q. No.]]=TBL_008_Qs_Lot_1[Q.])*("Question"=TBL_008_Qs_Lot_1[Type]),0)), "")</f>
        <v/>
      </c>
      <c r="I77" s="296" t="str">
        <f t="array" ref="I77">IF(TBL_SQ_Qs_Lot_1[[#This Row],[Type]]="Details", IF(INDEX(TBL_008_Qs_Lot_1[App_pages], MATCH(1, (TBL_SQ_Qs_Lot_1[[#This Row],[Q. No.]]=TBL_008_Qs_Lot_1[Q.])*("Question"=TBL_008_Qs_Lot_1[Type]),0))&lt;&gt;"", INDEX(TBL_008_Qs_Lot_1[App_pages], MATCH(1, (TBL_SQ_Qs_Lot_1[[#This Row],[Q. No.]]=TBL_008_Qs_Lot_1[Q.])*("Question"=TBL_008_Qs_Lot_1[Type]),0)), ""), "")</f>
        <v/>
      </c>
      <c r="J77" s="296" t="str">
        <f t="array" ref="J77">IF(TBL_SQ_Qs_Lot_1[[#This Row],[Type]]="Details", IF(INDEX(TBL_008_Qs_Lot_1[App_sub-qs], MATCH(1, (TBL_SQ_Qs_Lot_1[[#This Row],[Q. No.]]=TBL_008_Qs_Lot_1[Q.])*("Question"=TBL_008_Qs_Lot_1[Type]),0))&lt;&gt;"", INDEX(TBL_008_Qs_Lot_1[App_sub-qs], MATCH(1, (TBL_SQ_Qs_Lot_1[[#This Row],[Q. No.]]=TBL_008_Qs_Lot_1[Q.])*("Question"=TBL_008_Qs_Lot_1[Type]),0)), ""), "")</f>
        <v/>
      </c>
      <c r="K77" s="296" t="str">
        <f t="array" ref="K77">IF(TBL_SQ_Qs_Lot_1[[#This Row],[Type]]="Details", INDEX(TBL_008_Qs_Lot_1[Weighting], MATCH(1, (TBL_SQ_Qs_Lot_1[[#This Row],[Q. No.]]=TBL_008_Qs_Lot_1[Q.])*("Question"=TBL_008_Qs_Lot_1[Type]),0)), "")</f>
        <v/>
      </c>
      <c r="L77" s="296" t="str">
        <f>IF($H$4="No", "Shade", IF(OR(TBL_SQ_Qs_Lot_1[[#This Row],[Question]]="Not used
", AND(TBL_SQ_Qs_Lot_1[[#This Row],[Type]]="Details", TBL_SQ_Qs_Lot_1[[#This Row],[Subs]]=0)), "Shade", ""))</f>
        <v>Shade</v>
      </c>
    </row>
    <row r="78" spans="1:12" ht="25" hidden="1" customHeight="1">
      <c r="A78" s="239" t="s">
        <v>414</v>
      </c>
      <c r="B78" s="84" t="str">
        <f t="array" ref="B7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8" s="234"/>
      <c r="D78" s="297" t="str">
        <f>IF(TBL_SQ_Qs_Lot_1[[#This Row],[Type]]="Question", IF(OR(TBL_SQ_Qs_Lot_1[[#This Row],[Shade?]]="Shade", TBL_SQ_Qs_Lot_1[[#This Row],[Question]]="Question not used
"), "", IF(TBL_SQ_Qs_Lot_1[[#This Row],[Response]]&lt;&gt;"", "Done", "Add")), "")</f>
        <v/>
      </c>
      <c r="E78" s="407" t="s">
        <v>779</v>
      </c>
      <c r="F78" s="296" t="str">
        <f t="array" ref="F78">IF(TBL_SQ_Qs_Lot_1[[#This Row],[Type]]="Details", INDEX(TBL_008_Qs_Lot_1[Word limit], MATCH(1, (TBL_SQ_Qs_Lot_1[[#This Row],[Q. No.]]=TBL_008_Qs_Lot_1[Q.])*("Question"=TBL_008_Qs_Lot_1[Type]),0)), "")</f>
        <v/>
      </c>
      <c r="G78" s="296" t="str">
        <f t="array" ref="G78">IF(TBL_SQ_Qs_Lot_1[[#This Row],[Type]]="Details", INDEX(TBL_008_Qs_Lot_1[Max score], MATCH(1, (TBL_SQ_Qs_Lot_1[[#This Row],[Q. No.]]=TBL_008_Qs_Lot_1[Q.])*("Question"=TBL_008_Qs_Lot_1[Type]),0)), "")</f>
        <v/>
      </c>
      <c r="H78" s="296" t="str">
        <f t="array" ref="H78">IF(TBL_SQ_Qs_Lot_1[[#This Row],[Type]]="Details", INDEX(TBL_008_Qs_Lot_1[No.subs], MATCH(1, (TBL_SQ_Qs_Lot_1[[#This Row],[Q. No.]]=TBL_008_Qs_Lot_1[Q.])*("Question"=TBL_008_Qs_Lot_1[Type]),0)), "")</f>
        <v/>
      </c>
      <c r="I78" s="296" t="str">
        <f t="array" ref="I78">IF(TBL_SQ_Qs_Lot_1[[#This Row],[Type]]="Details", IF(INDEX(TBL_008_Qs_Lot_1[App_pages], MATCH(1, (TBL_SQ_Qs_Lot_1[[#This Row],[Q. No.]]=TBL_008_Qs_Lot_1[Q.])*("Question"=TBL_008_Qs_Lot_1[Type]),0))&lt;&gt;"", INDEX(TBL_008_Qs_Lot_1[App_pages], MATCH(1, (TBL_SQ_Qs_Lot_1[[#This Row],[Q. No.]]=TBL_008_Qs_Lot_1[Q.])*("Question"=TBL_008_Qs_Lot_1[Type]),0)), ""), "")</f>
        <v/>
      </c>
      <c r="J78" s="296" t="str">
        <f t="array" ref="J78">IF(TBL_SQ_Qs_Lot_1[[#This Row],[Type]]="Details", IF(INDEX(TBL_008_Qs_Lot_1[App_sub-qs], MATCH(1, (TBL_SQ_Qs_Lot_1[[#This Row],[Q. No.]]=TBL_008_Qs_Lot_1[Q.])*("Question"=TBL_008_Qs_Lot_1[Type]),0))&lt;&gt;"", INDEX(TBL_008_Qs_Lot_1[App_sub-qs], MATCH(1, (TBL_SQ_Qs_Lot_1[[#This Row],[Q. No.]]=TBL_008_Qs_Lot_1[Q.])*("Question"=TBL_008_Qs_Lot_1[Type]),0)), ""), "")</f>
        <v/>
      </c>
      <c r="K78" s="296" t="str">
        <f t="array" ref="K78">IF(TBL_SQ_Qs_Lot_1[[#This Row],[Type]]="Details", INDEX(TBL_008_Qs_Lot_1[Weighting], MATCH(1, (TBL_SQ_Qs_Lot_1[[#This Row],[Q. No.]]=TBL_008_Qs_Lot_1[Q.])*("Question"=TBL_008_Qs_Lot_1[Type]),0)), "")</f>
        <v/>
      </c>
      <c r="L78" s="296" t="str">
        <f>IF($H$4="No", "Shade", IF(OR(TBL_SQ_Qs_Lot_1[[#This Row],[Question]]="Not used
", AND(TBL_SQ_Qs_Lot_1[[#This Row],[Type]]="Details", TBL_SQ_Qs_Lot_1[[#This Row],[Subs]]=0)), "Shade", ""))</f>
        <v>Shade</v>
      </c>
    </row>
    <row r="79" spans="1:12" ht="25" hidden="1" customHeight="1">
      <c r="A79" s="239" t="s">
        <v>415</v>
      </c>
      <c r="B79" s="84" t="str">
        <f t="array" ref="B7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79" s="234"/>
      <c r="D79" s="297" t="str">
        <f>IF(TBL_SQ_Qs_Lot_1[[#This Row],[Type]]="Question", IF(OR(TBL_SQ_Qs_Lot_1[[#This Row],[Shade?]]="Shade", TBL_SQ_Qs_Lot_1[[#This Row],[Question]]="Question not used
"), "", IF(TBL_SQ_Qs_Lot_1[[#This Row],[Response]]&lt;&gt;"", "Done", "Add")), "")</f>
        <v/>
      </c>
      <c r="E79" s="407" t="s">
        <v>779</v>
      </c>
      <c r="F79" s="296" t="str">
        <f t="array" ref="F79">IF(TBL_SQ_Qs_Lot_1[[#This Row],[Type]]="Details", INDEX(TBL_008_Qs_Lot_1[Word limit], MATCH(1, (TBL_SQ_Qs_Lot_1[[#This Row],[Q. No.]]=TBL_008_Qs_Lot_1[Q.])*("Question"=TBL_008_Qs_Lot_1[Type]),0)), "")</f>
        <v/>
      </c>
      <c r="G79" s="296" t="str">
        <f t="array" ref="G79">IF(TBL_SQ_Qs_Lot_1[[#This Row],[Type]]="Details", INDEX(TBL_008_Qs_Lot_1[Max score], MATCH(1, (TBL_SQ_Qs_Lot_1[[#This Row],[Q. No.]]=TBL_008_Qs_Lot_1[Q.])*("Question"=TBL_008_Qs_Lot_1[Type]),0)), "")</f>
        <v/>
      </c>
      <c r="H79" s="296" t="str">
        <f t="array" ref="H79">IF(TBL_SQ_Qs_Lot_1[[#This Row],[Type]]="Details", INDEX(TBL_008_Qs_Lot_1[No.subs], MATCH(1, (TBL_SQ_Qs_Lot_1[[#This Row],[Q. No.]]=TBL_008_Qs_Lot_1[Q.])*("Question"=TBL_008_Qs_Lot_1[Type]),0)), "")</f>
        <v/>
      </c>
      <c r="I79" s="296" t="str">
        <f t="array" ref="I79">IF(TBL_SQ_Qs_Lot_1[[#This Row],[Type]]="Details", IF(INDEX(TBL_008_Qs_Lot_1[App_pages], MATCH(1, (TBL_SQ_Qs_Lot_1[[#This Row],[Q. No.]]=TBL_008_Qs_Lot_1[Q.])*("Question"=TBL_008_Qs_Lot_1[Type]),0))&lt;&gt;"", INDEX(TBL_008_Qs_Lot_1[App_pages], MATCH(1, (TBL_SQ_Qs_Lot_1[[#This Row],[Q. No.]]=TBL_008_Qs_Lot_1[Q.])*("Question"=TBL_008_Qs_Lot_1[Type]),0)), ""), "")</f>
        <v/>
      </c>
      <c r="J79" s="296" t="str">
        <f t="array" ref="J79">IF(TBL_SQ_Qs_Lot_1[[#This Row],[Type]]="Details", IF(INDEX(TBL_008_Qs_Lot_1[App_sub-qs], MATCH(1, (TBL_SQ_Qs_Lot_1[[#This Row],[Q. No.]]=TBL_008_Qs_Lot_1[Q.])*("Question"=TBL_008_Qs_Lot_1[Type]),0))&lt;&gt;"", INDEX(TBL_008_Qs_Lot_1[App_sub-qs], MATCH(1, (TBL_SQ_Qs_Lot_1[[#This Row],[Q. No.]]=TBL_008_Qs_Lot_1[Q.])*("Question"=TBL_008_Qs_Lot_1[Type]),0)), ""), "")</f>
        <v/>
      </c>
      <c r="K79" s="296" t="str">
        <f t="array" ref="K79">IF(TBL_SQ_Qs_Lot_1[[#This Row],[Type]]="Details", INDEX(TBL_008_Qs_Lot_1[Weighting], MATCH(1, (TBL_SQ_Qs_Lot_1[[#This Row],[Q. No.]]=TBL_008_Qs_Lot_1[Q.])*("Question"=TBL_008_Qs_Lot_1[Type]),0)), "")</f>
        <v/>
      </c>
      <c r="L79" s="296" t="str">
        <f>IF($H$4="No", "Shade", IF(OR(TBL_SQ_Qs_Lot_1[[#This Row],[Question]]="Not used
", AND(TBL_SQ_Qs_Lot_1[[#This Row],[Type]]="Details", TBL_SQ_Qs_Lot_1[[#This Row],[Subs]]=0)), "Shade", ""))</f>
        <v>Shade</v>
      </c>
    </row>
    <row r="80" spans="1:12" ht="25" hidden="1" customHeight="1">
      <c r="A80" s="239" t="s">
        <v>416</v>
      </c>
      <c r="B80" s="84" t="str">
        <f t="array" ref="B8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0" s="234"/>
      <c r="D80" s="297" t="str">
        <f>IF(TBL_SQ_Qs_Lot_1[[#This Row],[Type]]="Question", IF(OR(TBL_SQ_Qs_Lot_1[[#This Row],[Shade?]]="Shade", TBL_SQ_Qs_Lot_1[[#This Row],[Question]]="Question not used
"), "", IF(TBL_SQ_Qs_Lot_1[[#This Row],[Response]]&lt;&gt;"", "Done", "Add")), "")</f>
        <v/>
      </c>
      <c r="E80" s="407" t="s">
        <v>779</v>
      </c>
      <c r="F80" s="296" t="str">
        <f t="array" ref="F80">IF(TBL_SQ_Qs_Lot_1[[#This Row],[Type]]="Details", INDEX(TBL_008_Qs_Lot_1[Word limit], MATCH(1, (TBL_SQ_Qs_Lot_1[[#This Row],[Q. No.]]=TBL_008_Qs_Lot_1[Q.])*("Question"=TBL_008_Qs_Lot_1[Type]),0)), "")</f>
        <v/>
      </c>
      <c r="G80" s="296" t="str">
        <f t="array" ref="G80">IF(TBL_SQ_Qs_Lot_1[[#This Row],[Type]]="Details", INDEX(TBL_008_Qs_Lot_1[Max score], MATCH(1, (TBL_SQ_Qs_Lot_1[[#This Row],[Q. No.]]=TBL_008_Qs_Lot_1[Q.])*("Question"=TBL_008_Qs_Lot_1[Type]),0)), "")</f>
        <v/>
      </c>
      <c r="H80" s="296" t="str">
        <f t="array" ref="H80">IF(TBL_SQ_Qs_Lot_1[[#This Row],[Type]]="Details", INDEX(TBL_008_Qs_Lot_1[No.subs], MATCH(1, (TBL_SQ_Qs_Lot_1[[#This Row],[Q. No.]]=TBL_008_Qs_Lot_1[Q.])*("Question"=TBL_008_Qs_Lot_1[Type]),0)), "")</f>
        <v/>
      </c>
      <c r="I80" s="296" t="str">
        <f t="array" ref="I80">IF(TBL_SQ_Qs_Lot_1[[#This Row],[Type]]="Details", IF(INDEX(TBL_008_Qs_Lot_1[App_pages], MATCH(1, (TBL_SQ_Qs_Lot_1[[#This Row],[Q. No.]]=TBL_008_Qs_Lot_1[Q.])*("Question"=TBL_008_Qs_Lot_1[Type]),0))&lt;&gt;"", INDEX(TBL_008_Qs_Lot_1[App_pages], MATCH(1, (TBL_SQ_Qs_Lot_1[[#This Row],[Q. No.]]=TBL_008_Qs_Lot_1[Q.])*("Question"=TBL_008_Qs_Lot_1[Type]),0)), ""), "")</f>
        <v/>
      </c>
      <c r="J80" s="296" t="str">
        <f t="array" ref="J80">IF(TBL_SQ_Qs_Lot_1[[#This Row],[Type]]="Details", IF(INDEX(TBL_008_Qs_Lot_1[App_sub-qs], MATCH(1, (TBL_SQ_Qs_Lot_1[[#This Row],[Q. No.]]=TBL_008_Qs_Lot_1[Q.])*("Question"=TBL_008_Qs_Lot_1[Type]),0))&lt;&gt;"", INDEX(TBL_008_Qs_Lot_1[App_sub-qs], MATCH(1, (TBL_SQ_Qs_Lot_1[[#This Row],[Q. No.]]=TBL_008_Qs_Lot_1[Q.])*("Question"=TBL_008_Qs_Lot_1[Type]),0)), ""), "")</f>
        <v/>
      </c>
      <c r="K80" s="296" t="str">
        <f t="array" ref="K80">IF(TBL_SQ_Qs_Lot_1[[#This Row],[Type]]="Details", INDEX(TBL_008_Qs_Lot_1[Weighting], MATCH(1, (TBL_SQ_Qs_Lot_1[[#This Row],[Q. No.]]=TBL_008_Qs_Lot_1[Q.])*("Question"=TBL_008_Qs_Lot_1[Type]),0)), "")</f>
        <v/>
      </c>
      <c r="L80" s="296" t="str">
        <f>IF($H$4="No", "Shade", IF(OR(TBL_SQ_Qs_Lot_1[[#This Row],[Question]]="Not used
", AND(TBL_SQ_Qs_Lot_1[[#This Row],[Type]]="Details", TBL_SQ_Qs_Lot_1[[#This Row],[Subs]]=0)), "Shade", ""))</f>
        <v>Shade</v>
      </c>
    </row>
    <row r="81" spans="1:12" ht="25" hidden="1" customHeight="1">
      <c r="A81" s="239" t="s">
        <v>417</v>
      </c>
      <c r="B81" s="84" t="str">
        <f t="array" ref="B8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1" s="234"/>
      <c r="D81" s="297" t="str">
        <f>IF(TBL_SQ_Qs_Lot_1[[#This Row],[Type]]="Question", IF(OR(TBL_SQ_Qs_Lot_1[[#This Row],[Shade?]]="Shade", TBL_SQ_Qs_Lot_1[[#This Row],[Question]]="Question not used
"), "", IF(TBL_SQ_Qs_Lot_1[[#This Row],[Response]]&lt;&gt;"", "Done", "Add")), "")</f>
        <v/>
      </c>
      <c r="E81" s="407" t="s">
        <v>779</v>
      </c>
      <c r="F81" s="296" t="str">
        <f t="array" ref="F81">IF(TBL_SQ_Qs_Lot_1[[#This Row],[Type]]="Details", INDEX(TBL_008_Qs_Lot_1[Word limit], MATCH(1, (TBL_SQ_Qs_Lot_1[[#This Row],[Q. No.]]=TBL_008_Qs_Lot_1[Q.])*("Question"=TBL_008_Qs_Lot_1[Type]),0)), "")</f>
        <v/>
      </c>
      <c r="G81" s="296" t="str">
        <f t="array" ref="G81">IF(TBL_SQ_Qs_Lot_1[[#This Row],[Type]]="Details", INDEX(TBL_008_Qs_Lot_1[Max score], MATCH(1, (TBL_SQ_Qs_Lot_1[[#This Row],[Q. No.]]=TBL_008_Qs_Lot_1[Q.])*("Question"=TBL_008_Qs_Lot_1[Type]),0)), "")</f>
        <v/>
      </c>
      <c r="H81" s="296" t="str">
        <f t="array" ref="H81">IF(TBL_SQ_Qs_Lot_1[[#This Row],[Type]]="Details", INDEX(TBL_008_Qs_Lot_1[No.subs], MATCH(1, (TBL_SQ_Qs_Lot_1[[#This Row],[Q. No.]]=TBL_008_Qs_Lot_1[Q.])*("Question"=TBL_008_Qs_Lot_1[Type]),0)), "")</f>
        <v/>
      </c>
      <c r="I81" s="296" t="str">
        <f t="array" ref="I81">IF(TBL_SQ_Qs_Lot_1[[#This Row],[Type]]="Details", IF(INDEX(TBL_008_Qs_Lot_1[App_pages], MATCH(1, (TBL_SQ_Qs_Lot_1[[#This Row],[Q. No.]]=TBL_008_Qs_Lot_1[Q.])*("Question"=TBL_008_Qs_Lot_1[Type]),0))&lt;&gt;"", INDEX(TBL_008_Qs_Lot_1[App_pages], MATCH(1, (TBL_SQ_Qs_Lot_1[[#This Row],[Q. No.]]=TBL_008_Qs_Lot_1[Q.])*("Question"=TBL_008_Qs_Lot_1[Type]),0)), ""), "")</f>
        <v/>
      </c>
      <c r="J81" s="296" t="str">
        <f t="array" ref="J81">IF(TBL_SQ_Qs_Lot_1[[#This Row],[Type]]="Details", IF(INDEX(TBL_008_Qs_Lot_1[App_sub-qs], MATCH(1, (TBL_SQ_Qs_Lot_1[[#This Row],[Q. No.]]=TBL_008_Qs_Lot_1[Q.])*("Question"=TBL_008_Qs_Lot_1[Type]),0))&lt;&gt;"", INDEX(TBL_008_Qs_Lot_1[App_sub-qs], MATCH(1, (TBL_SQ_Qs_Lot_1[[#This Row],[Q. No.]]=TBL_008_Qs_Lot_1[Q.])*("Question"=TBL_008_Qs_Lot_1[Type]),0)), ""), "")</f>
        <v/>
      </c>
      <c r="K81" s="296" t="str">
        <f t="array" ref="K81">IF(TBL_SQ_Qs_Lot_1[[#This Row],[Type]]="Details", INDEX(TBL_008_Qs_Lot_1[Weighting], MATCH(1, (TBL_SQ_Qs_Lot_1[[#This Row],[Q. No.]]=TBL_008_Qs_Lot_1[Q.])*("Question"=TBL_008_Qs_Lot_1[Type]),0)), "")</f>
        <v/>
      </c>
      <c r="L81" s="296" t="str">
        <f>IF($H$4="No", "Shade", IF(OR(TBL_SQ_Qs_Lot_1[[#This Row],[Question]]="Not used
", AND(TBL_SQ_Qs_Lot_1[[#This Row],[Type]]="Details", TBL_SQ_Qs_Lot_1[[#This Row],[Subs]]=0)), "Shade", ""))</f>
        <v>Shade</v>
      </c>
    </row>
    <row r="82" spans="1:12" ht="25" hidden="1" customHeight="1">
      <c r="A82" s="239" t="s">
        <v>418</v>
      </c>
      <c r="B82" s="84" t="str">
        <f t="array" ref="B8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2" s="234"/>
      <c r="D82" s="297" t="str">
        <f>IF(TBL_SQ_Qs_Lot_1[[#This Row],[Type]]="Question", IF(OR(TBL_SQ_Qs_Lot_1[[#This Row],[Shade?]]="Shade", TBL_SQ_Qs_Lot_1[[#This Row],[Question]]="Question not used
"), "", IF(TBL_SQ_Qs_Lot_1[[#This Row],[Response]]&lt;&gt;"", "Done", "Add")), "")</f>
        <v/>
      </c>
      <c r="E82" s="407" t="s">
        <v>779</v>
      </c>
      <c r="F82" s="296" t="str">
        <f t="array" ref="F82">IF(TBL_SQ_Qs_Lot_1[[#This Row],[Type]]="Details", INDEX(TBL_008_Qs_Lot_1[Word limit], MATCH(1, (TBL_SQ_Qs_Lot_1[[#This Row],[Q. No.]]=TBL_008_Qs_Lot_1[Q.])*("Question"=TBL_008_Qs_Lot_1[Type]),0)), "")</f>
        <v/>
      </c>
      <c r="G82" s="296" t="str">
        <f t="array" ref="G82">IF(TBL_SQ_Qs_Lot_1[[#This Row],[Type]]="Details", INDEX(TBL_008_Qs_Lot_1[Max score], MATCH(1, (TBL_SQ_Qs_Lot_1[[#This Row],[Q. No.]]=TBL_008_Qs_Lot_1[Q.])*("Question"=TBL_008_Qs_Lot_1[Type]),0)), "")</f>
        <v/>
      </c>
      <c r="H82" s="296" t="str">
        <f t="array" ref="H82">IF(TBL_SQ_Qs_Lot_1[[#This Row],[Type]]="Details", INDEX(TBL_008_Qs_Lot_1[No.subs], MATCH(1, (TBL_SQ_Qs_Lot_1[[#This Row],[Q. No.]]=TBL_008_Qs_Lot_1[Q.])*("Question"=TBL_008_Qs_Lot_1[Type]),0)), "")</f>
        <v/>
      </c>
      <c r="I82" s="296" t="str">
        <f t="array" ref="I82">IF(TBL_SQ_Qs_Lot_1[[#This Row],[Type]]="Details", IF(INDEX(TBL_008_Qs_Lot_1[App_pages], MATCH(1, (TBL_SQ_Qs_Lot_1[[#This Row],[Q. No.]]=TBL_008_Qs_Lot_1[Q.])*("Question"=TBL_008_Qs_Lot_1[Type]),0))&lt;&gt;"", INDEX(TBL_008_Qs_Lot_1[App_pages], MATCH(1, (TBL_SQ_Qs_Lot_1[[#This Row],[Q. No.]]=TBL_008_Qs_Lot_1[Q.])*("Question"=TBL_008_Qs_Lot_1[Type]),0)), ""), "")</f>
        <v/>
      </c>
      <c r="J82" s="296" t="str">
        <f t="array" ref="J82">IF(TBL_SQ_Qs_Lot_1[[#This Row],[Type]]="Details", IF(INDEX(TBL_008_Qs_Lot_1[App_sub-qs], MATCH(1, (TBL_SQ_Qs_Lot_1[[#This Row],[Q. No.]]=TBL_008_Qs_Lot_1[Q.])*("Question"=TBL_008_Qs_Lot_1[Type]),0))&lt;&gt;"", INDEX(TBL_008_Qs_Lot_1[App_sub-qs], MATCH(1, (TBL_SQ_Qs_Lot_1[[#This Row],[Q. No.]]=TBL_008_Qs_Lot_1[Q.])*("Question"=TBL_008_Qs_Lot_1[Type]),0)), ""), "")</f>
        <v/>
      </c>
      <c r="K82" s="296" t="str">
        <f t="array" ref="K82">IF(TBL_SQ_Qs_Lot_1[[#This Row],[Type]]="Details", INDEX(TBL_008_Qs_Lot_1[Weighting], MATCH(1, (TBL_SQ_Qs_Lot_1[[#This Row],[Q. No.]]=TBL_008_Qs_Lot_1[Q.])*("Question"=TBL_008_Qs_Lot_1[Type]),0)), "")</f>
        <v/>
      </c>
      <c r="L82" s="296" t="str">
        <f>IF($H$4="No", "Shade", IF(OR(TBL_SQ_Qs_Lot_1[[#This Row],[Question]]="Not used
", AND(TBL_SQ_Qs_Lot_1[[#This Row],[Type]]="Details", TBL_SQ_Qs_Lot_1[[#This Row],[Subs]]=0)), "Shade", ""))</f>
        <v>Shade</v>
      </c>
    </row>
    <row r="83" spans="1:12" ht="25" hidden="1" customHeight="1">
      <c r="A83" s="239" t="s">
        <v>419</v>
      </c>
      <c r="B83" s="84" t="str">
        <f t="array" ref="B8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3" s="234"/>
      <c r="D83" s="297" t="str">
        <f>IF(TBL_SQ_Qs_Lot_1[[#This Row],[Type]]="Question", IF(OR(TBL_SQ_Qs_Lot_1[[#This Row],[Shade?]]="Shade", TBL_SQ_Qs_Lot_1[[#This Row],[Question]]="Question not used
"), "", IF(TBL_SQ_Qs_Lot_1[[#This Row],[Response]]&lt;&gt;"", "Done", "Add")), "")</f>
        <v/>
      </c>
      <c r="E83" s="407" t="s">
        <v>779</v>
      </c>
      <c r="F83" s="296" t="str">
        <f t="array" ref="F83">IF(TBL_SQ_Qs_Lot_1[[#This Row],[Type]]="Details", INDEX(TBL_008_Qs_Lot_1[Word limit], MATCH(1, (TBL_SQ_Qs_Lot_1[[#This Row],[Q. No.]]=TBL_008_Qs_Lot_1[Q.])*("Question"=TBL_008_Qs_Lot_1[Type]),0)), "")</f>
        <v/>
      </c>
      <c r="G83" s="296" t="str">
        <f t="array" ref="G83">IF(TBL_SQ_Qs_Lot_1[[#This Row],[Type]]="Details", INDEX(TBL_008_Qs_Lot_1[Max score], MATCH(1, (TBL_SQ_Qs_Lot_1[[#This Row],[Q. No.]]=TBL_008_Qs_Lot_1[Q.])*("Question"=TBL_008_Qs_Lot_1[Type]),0)), "")</f>
        <v/>
      </c>
      <c r="H83" s="296" t="str">
        <f t="array" ref="H83">IF(TBL_SQ_Qs_Lot_1[[#This Row],[Type]]="Details", INDEX(TBL_008_Qs_Lot_1[No.subs], MATCH(1, (TBL_SQ_Qs_Lot_1[[#This Row],[Q. No.]]=TBL_008_Qs_Lot_1[Q.])*("Question"=TBL_008_Qs_Lot_1[Type]),0)), "")</f>
        <v/>
      </c>
      <c r="I83" s="296" t="str">
        <f t="array" ref="I83">IF(TBL_SQ_Qs_Lot_1[[#This Row],[Type]]="Details", IF(INDEX(TBL_008_Qs_Lot_1[App_pages], MATCH(1, (TBL_SQ_Qs_Lot_1[[#This Row],[Q. No.]]=TBL_008_Qs_Lot_1[Q.])*("Question"=TBL_008_Qs_Lot_1[Type]),0))&lt;&gt;"", INDEX(TBL_008_Qs_Lot_1[App_pages], MATCH(1, (TBL_SQ_Qs_Lot_1[[#This Row],[Q. No.]]=TBL_008_Qs_Lot_1[Q.])*("Question"=TBL_008_Qs_Lot_1[Type]),0)), ""), "")</f>
        <v/>
      </c>
      <c r="J83" s="296" t="str">
        <f t="array" ref="J83">IF(TBL_SQ_Qs_Lot_1[[#This Row],[Type]]="Details", IF(INDEX(TBL_008_Qs_Lot_1[App_sub-qs], MATCH(1, (TBL_SQ_Qs_Lot_1[[#This Row],[Q. No.]]=TBL_008_Qs_Lot_1[Q.])*("Question"=TBL_008_Qs_Lot_1[Type]),0))&lt;&gt;"", INDEX(TBL_008_Qs_Lot_1[App_sub-qs], MATCH(1, (TBL_SQ_Qs_Lot_1[[#This Row],[Q. No.]]=TBL_008_Qs_Lot_1[Q.])*("Question"=TBL_008_Qs_Lot_1[Type]),0)), ""), "")</f>
        <v/>
      </c>
      <c r="K83" s="296" t="str">
        <f t="array" ref="K83">IF(TBL_SQ_Qs_Lot_1[[#This Row],[Type]]="Details", INDEX(TBL_008_Qs_Lot_1[Weighting], MATCH(1, (TBL_SQ_Qs_Lot_1[[#This Row],[Q. No.]]=TBL_008_Qs_Lot_1[Q.])*("Question"=TBL_008_Qs_Lot_1[Type]),0)), "")</f>
        <v/>
      </c>
      <c r="L83" s="296" t="str">
        <f>IF($H$4="No", "Shade", IF(OR(TBL_SQ_Qs_Lot_1[[#This Row],[Question]]="Not used
", AND(TBL_SQ_Qs_Lot_1[[#This Row],[Type]]="Details", TBL_SQ_Qs_Lot_1[[#This Row],[Subs]]=0)), "Shade", ""))</f>
        <v>Shade</v>
      </c>
    </row>
    <row r="84" spans="1:12" ht="25" hidden="1" customHeight="1">
      <c r="A84" s="232" t="s">
        <v>420</v>
      </c>
      <c r="B84" s="86" t="str">
        <f t="array" ref="B8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4" s="235"/>
      <c r="D84" s="297" t="str">
        <f>IF(TBL_SQ_Qs_Lot_1[[#This Row],[Type]]="Question", IF(OR(TBL_SQ_Qs_Lot_1[[#This Row],[Shade?]]="Shade", TBL_SQ_Qs_Lot_1[[#This Row],[Question]]="Question not used
"), "", IF(TBL_SQ_Qs_Lot_1[[#This Row],[Response]]&lt;&gt;"", "Done", "Add")), "")</f>
        <v/>
      </c>
      <c r="E84" s="407" t="s">
        <v>779</v>
      </c>
      <c r="F84" s="296" t="str">
        <f t="array" ref="F84">IF(TBL_SQ_Qs_Lot_1[[#This Row],[Type]]="Details", INDEX(TBL_008_Qs_Lot_1[Word limit], MATCH(1, (TBL_SQ_Qs_Lot_1[[#This Row],[Q. No.]]=TBL_008_Qs_Lot_1[Q.])*("Question"=TBL_008_Qs_Lot_1[Type]),0)), "")</f>
        <v/>
      </c>
      <c r="G84" s="296" t="str">
        <f t="array" ref="G84">IF(TBL_SQ_Qs_Lot_1[[#This Row],[Type]]="Details", INDEX(TBL_008_Qs_Lot_1[Max score], MATCH(1, (TBL_SQ_Qs_Lot_1[[#This Row],[Q. No.]]=TBL_008_Qs_Lot_1[Q.])*("Question"=TBL_008_Qs_Lot_1[Type]),0)), "")</f>
        <v/>
      </c>
      <c r="H84" s="296" t="str">
        <f t="array" ref="H84">IF(TBL_SQ_Qs_Lot_1[[#This Row],[Type]]="Details", INDEX(TBL_008_Qs_Lot_1[No.subs], MATCH(1, (TBL_SQ_Qs_Lot_1[[#This Row],[Q. No.]]=TBL_008_Qs_Lot_1[Q.])*("Question"=TBL_008_Qs_Lot_1[Type]),0)), "")</f>
        <v/>
      </c>
      <c r="I84" s="296" t="str">
        <f t="array" ref="I84">IF(TBL_SQ_Qs_Lot_1[[#This Row],[Type]]="Details", IF(INDEX(TBL_008_Qs_Lot_1[App_pages], MATCH(1, (TBL_SQ_Qs_Lot_1[[#This Row],[Q. No.]]=TBL_008_Qs_Lot_1[Q.])*("Question"=TBL_008_Qs_Lot_1[Type]),0))&lt;&gt;"", INDEX(TBL_008_Qs_Lot_1[App_pages], MATCH(1, (TBL_SQ_Qs_Lot_1[[#This Row],[Q. No.]]=TBL_008_Qs_Lot_1[Q.])*("Question"=TBL_008_Qs_Lot_1[Type]),0)), ""), "")</f>
        <v/>
      </c>
      <c r="J84" s="296" t="str">
        <f t="array" ref="J84">IF(TBL_SQ_Qs_Lot_1[[#This Row],[Type]]="Details", IF(INDEX(TBL_008_Qs_Lot_1[App_sub-qs], MATCH(1, (TBL_SQ_Qs_Lot_1[[#This Row],[Q. No.]]=TBL_008_Qs_Lot_1[Q.])*("Question"=TBL_008_Qs_Lot_1[Type]),0))&lt;&gt;"", INDEX(TBL_008_Qs_Lot_1[App_sub-qs], MATCH(1, (TBL_SQ_Qs_Lot_1[[#This Row],[Q. No.]]=TBL_008_Qs_Lot_1[Q.])*("Question"=TBL_008_Qs_Lot_1[Type]),0)), ""), "")</f>
        <v/>
      </c>
      <c r="K84" s="296" t="str">
        <f t="array" ref="K84">IF(TBL_SQ_Qs_Lot_1[[#This Row],[Type]]="Details", INDEX(TBL_008_Qs_Lot_1[Weighting], MATCH(1, (TBL_SQ_Qs_Lot_1[[#This Row],[Q. No.]]=TBL_008_Qs_Lot_1[Q.])*("Question"=TBL_008_Qs_Lot_1[Type]),0)), "")</f>
        <v/>
      </c>
      <c r="L84" s="296" t="str">
        <f>IF($H$4="No", "Shade", IF(OR(TBL_SQ_Qs_Lot_1[[#This Row],[Question]]="Not used
", AND(TBL_SQ_Qs_Lot_1[[#This Row],[Type]]="Details", TBL_SQ_Qs_Lot_1[[#This Row],[Subs]]=0)), "Shade", ""))</f>
        <v>Shade</v>
      </c>
    </row>
    <row r="85" spans="1:12" ht="25" hidden="1" customHeight="1">
      <c r="A85" s="237" t="s">
        <v>421</v>
      </c>
      <c r="B85" s="219" t="str">
        <f t="array" ref="B8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5" s="297"/>
      <c r="D85" s="297" t="str">
        <f>IF(TBL_SQ_Qs_Lot_1[[#This Row],[Type]]="Question", IF(OR(TBL_SQ_Qs_Lot_1[[#This Row],[Shade?]]="Shade", TBL_SQ_Qs_Lot_1[[#This Row],[Question]]="Question not used
"), "", IF(TBL_SQ_Qs_Lot_1[[#This Row],[Response]]&lt;&gt;"", "Done", "Add")), "")</f>
        <v/>
      </c>
      <c r="E85" s="407" t="s">
        <v>209</v>
      </c>
      <c r="F85" s="296" t="str">
        <f t="array" ref="F85">IF(TBL_SQ_Qs_Lot_1[[#This Row],[Type]]="Details", INDEX(TBL_008_Qs_Lot_1[Word limit], MATCH(1, (TBL_SQ_Qs_Lot_1[[#This Row],[Q. No.]]=TBL_008_Qs_Lot_1[Q.])*("Question"=TBL_008_Qs_Lot_1[Type]),0)), "")</f>
        <v/>
      </c>
      <c r="G85" s="296" t="str">
        <f t="array" ref="G85">IF(TBL_SQ_Qs_Lot_1[[#This Row],[Type]]="Details", INDEX(TBL_008_Qs_Lot_1[Max score], MATCH(1, (TBL_SQ_Qs_Lot_1[[#This Row],[Q. No.]]=TBL_008_Qs_Lot_1[Q.])*("Question"=TBL_008_Qs_Lot_1[Type]),0)), "")</f>
        <v/>
      </c>
      <c r="H85" s="296" t="str">
        <f t="array" ref="H85">IF(TBL_SQ_Qs_Lot_1[[#This Row],[Type]]="Details", INDEX(TBL_008_Qs_Lot_1[No.subs], MATCH(1, (TBL_SQ_Qs_Lot_1[[#This Row],[Q. No.]]=TBL_008_Qs_Lot_1[Q.])*("Question"=TBL_008_Qs_Lot_1[Type]),0)), "")</f>
        <v/>
      </c>
      <c r="I85" s="296" t="str">
        <f t="array" ref="I85">IF(TBL_SQ_Qs_Lot_1[[#This Row],[Type]]="Details", IF(INDEX(TBL_008_Qs_Lot_1[App_pages], MATCH(1, (TBL_SQ_Qs_Lot_1[[#This Row],[Q. No.]]=TBL_008_Qs_Lot_1[Q.])*("Question"=TBL_008_Qs_Lot_1[Type]),0))&lt;&gt;"", INDEX(TBL_008_Qs_Lot_1[App_pages], MATCH(1, (TBL_SQ_Qs_Lot_1[[#This Row],[Q. No.]]=TBL_008_Qs_Lot_1[Q.])*("Question"=TBL_008_Qs_Lot_1[Type]),0)), ""), "")</f>
        <v/>
      </c>
      <c r="J85" s="296" t="str">
        <f t="array" ref="J85">IF(TBL_SQ_Qs_Lot_1[[#This Row],[Type]]="Details", IF(INDEX(TBL_008_Qs_Lot_1[App_sub-qs], MATCH(1, (TBL_SQ_Qs_Lot_1[[#This Row],[Q. No.]]=TBL_008_Qs_Lot_1[Q.])*("Question"=TBL_008_Qs_Lot_1[Type]),0))&lt;&gt;"", INDEX(TBL_008_Qs_Lot_1[App_sub-qs], MATCH(1, (TBL_SQ_Qs_Lot_1[[#This Row],[Q. No.]]=TBL_008_Qs_Lot_1[Q.])*("Question"=TBL_008_Qs_Lot_1[Type]),0)), ""), "")</f>
        <v/>
      </c>
      <c r="K85" s="296" t="str">
        <f t="array" ref="K85">IF(TBL_SQ_Qs_Lot_1[[#This Row],[Type]]="Details", INDEX(TBL_008_Qs_Lot_1[Weighting], MATCH(1, (TBL_SQ_Qs_Lot_1[[#This Row],[Q. No.]]=TBL_008_Qs_Lot_1[Q.])*("Question"=TBL_008_Qs_Lot_1[Type]),0)), "")</f>
        <v/>
      </c>
      <c r="L85" s="296" t="str">
        <f>IF($H$4="No", "Shade", IF(OR(TBL_SQ_Qs_Lot_1[[#This Row],[Question]]="Not used
", AND(TBL_SQ_Qs_Lot_1[[#This Row],[Type]]="Details", TBL_SQ_Qs_Lot_1[[#This Row],[Subs]]=0)), "Shade", ""))</f>
        <v>Shade</v>
      </c>
    </row>
    <row r="86" spans="1:12" ht="25" hidden="1" customHeight="1">
      <c r="A86" s="238" t="s">
        <v>421</v>
      </c>
      <c r="B86" s="220" t="str">
        <f t="array" ref="B8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Q6.6 should have a word count of not more than 0 words.
The maximum score for this question is 0.00 marks (0.00 elements x 5.00 marks)
</v>
      </c>
      <c r="C86" s="233"/>
      <c r="D86" s="297" t="str">
        <f>IF(TBL_SQ_Qs_Lot_1[[#This Row],[Type]]="Question", IF(OR(TBL_SQ_Qs_Lot_1[[#This Row],[Shade?]]="Shade", TBL_SQ_Qs_Lot_1[[#This Row],[Question]]="Question not used
"), "", IF(TBL_SQ_Qs_Lot_1[[#This Row],[Response]]&lt;&gt;"", "Done", "Add")), "")</f>
        <v/>
      </c>
      <c r="E86" s="407" t="s">
        <v>798</v>
      </c>
      <c r="F86" s="296">
        <f t="array" ref="F86">IF(TBL_SQ_Qs_Lot_1[[#This Row],[Type]]="Details", INDEX(TBL_008_Qs_Lot_1[Word limit], MATCH(1, (TBL_SQ_Qs_Lot_1[[#This Row],[Q. No.]]=TBL_008_Qs_Lot_1[Q.])*("Question"=TBL_008_Qs_Lot_1[Type]),0)), "")</f>
        <v>0</v>
      </c>
      <c r="G86" s="296">
        <f t="array" ref="G86">IF(TBL_SQ_Qs_Lot_1[[#This Row],[Type]]="Details", INDEX(TBL_008_Qs_Lot_1[Max score], MATCH(1, (TBL_SQ_Qs_Lot_1[[#This Row],[Q. No.]]=TBL_008_Qs_Lot_1[Q.])*("Question"=TBL_008_Qs_Lot_1[Type]),0)), "")</f>
        <v>0</v>
      </c>
      <c r="H86" s="296">
        <f t="array" ref="H86">IF(TBL_SQ_Qs_Lot_1[[#This Row],[Type]]="Details", INDEX(TBL_008_Qs_Lot_1[No.subs], MATCH(1, (TBL_SQ_Qs_Lot_1[[#This Row],[Q. No.]]=TBL_008_Qs_Lot_1[Q.])*("Question"=TBL_008_Qs_Lot_1[Type]),0)), "")</f>
        <v>0</v>
      </c>
      <c r="I86" s="296" t="str">
        <f t="array" ref="I86">IF(TBL_SQ_Qs_Lot_1[[#This Row],[Type]]="Details", IF(INDEX(TBL_008_Qs_Lot_1[App_pages], MATCH(1, (TBL_SQ_Qs_Lot_1[[#This Row],[Q. No.]]=TBL_008_Qs_Lot_1[Q.])*("Question"=TBL_008_Qs_Lot_1[Type]),0))&lt;&gt;"", INDEX(TBL_008_Qs_Lot_1[App_pages], MATCH(1, (TBL_SQ_Qs_Lot_1[[#This Row],[Q. No.]]=TBL_008_Qs_Lot_1[Q.])*("Question"=TBL_008_Qs_Lot_1[Type]),0)), ""), "")</f>
        <v/>
      </c>
      <c r="J86" s="296" t="str">
        <f t="array" ref="J86">IF(TBL_SQ_Qs_Lot_1[[#This Row],[Type]]="Details", IF(INDEX(TBL_008_Qs_Lot_1[App_sub-qs], MATCH(1, (TBL_SQ_Qs_Lot_1[[#This Row],[Q. No.]]=TBL_008_Qs_Lot_1[Q.])*("Question"=TBL_008_Qs_Lot_1[Type]),0))&lt;&gt;"", INDEX(TBL_008_Qs_Lot_1[App_sub-qs], MATCH(1, (TBL_SQ_Qs_Lot_1[[#This Row],[Q. No.]]=TBL_008_Qs_Lot_1[Q.])*("Question"=TBL_008_Qs_Lot_1[Type]),0)), ""), "")</f>
        <v/>
      </c>
      <c r="K86" s="296" t="str">
        <f t="array" ref="K86">IF(TBL_SQ_Qs_Lot_1[[#This Row],[Type]]="Details", INDEX(TBL_008_Qs_Lot_1[Weighting], MATCH(1, (TBL_SQ_Qs_Lot_1[[#This Row],[Q. No.]]=TBL_008_Qs_Lot_1[Q.])*("Question"=TBL_008_Qs_Lot_1[Type]),0)), "")</f>
        <v>N/A</v>
      </c>
      <c r="L86" s="296" t="str">
        <f>IF($H$4="No", "Shade", IF(OR(TBL_SQ_Qs_Lot_1[[#This Row],[Question]]="Not used
", AND(TBL_SQ_Qs_Lot_1[[#This Row],[Type]]="Details", TBL_SQ_Qs_Lot_1[[#This Row],[Subs]]=0)), "Shade", ""))</f>
        <v>Shade</v>
      </c>
    </row>
    <row r="87" spans="1:12" ht="25" hidden="1" customHeight="1">
      <c r="A87" s="239" t="s">
        <v>422</v>
      </c>
      <c r="B87" s="84" t="str">
        <f t="array" ref="B8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7" s="234"/>
      <c r="D87" s="297" t="str">
        <f>IF(TBL_SQ_Qs_Lot_1[[#This Row],[Type]]="Question", IF(OR(TBL_SQ_Qs_Lot_1[[#This Row],[Shade?]]="Shade", TBL_SQ_Qs_Lot_1[[#This Row],[Question]]="Question not used
"), "", IF(TBL_SQ_Qs_Lot_1[[#This Row],[Response]]&lt;&gt;"", "Done", "Add")), "")</f>
        <v/>
      </c>
      <c r="E87" s="407" t="s">
        <v>779</v>
      </c>
      <c r="F87" s="296" t="str">
        <f t="array" ref="F87">IF(TBL_SQ_Qs_Lot_1[[#This Row],[Type]]="Details", INDEX(TBL_008_Qs_Lot_1[Word limit], MATCH(1, (TBL_SQ_Qs_Lot_1[[#This Row],[Q. No.]]=TBL_008_Qs_Lot_1[Q.])*("Question"=TBL_008_Qs_Lot_1[Type]),0)), "")</f>
        <v/>
      </c>
      <c r="G87" s="296" t="str">
        <f t="array" ref="G87">IF(TBL_SQ_Qs_Lot_1[[#This Row],[Type]]="Details", INDEX(TBL_008_Qs_Lot_1[Max score], MATCH(1, (TBL_SQ_Qs_Lot_1[[#This Row],[Q. No.]]=TBL_008_Qs_Lot_1[Q.])*("Question"=TBL_008_Qs_Lot_1[Type]),0)), "")</f>
        <v/>
      </c>
      <c r="H87" s="296" t="str">
        <f t="array" ref="H87">IF(TBL_SQ_Qs_Lot_1[[#This Row],[Type]]="Details", INDEX(TBL_008_Qs_Lot_1[No.subs], MATCH(1, (TBL_SQ_Qs_Lot_1[[#This Row],[Q. No.]]=TBL_008_Qs_Lot_1[Q.])*("Question"=TBL_008_Qs_Lot_1[Type]),0)), "")</f>
        <v/>
      </c>
      <c r="I87" s="296" t="str">
        <f t="array" ref="I87">IF(TBL_SQ_Qs_Lot_1[[#This Row],[Type]]="Details", IF(INDEX(TBL_008_Qs_Lot_1[App_pages], MATCH(1, (TBL_SQ_Qs_Lot_1[[#This Row],[Q. No.]]=TBL_008_Qs_Lot_1[Q.])*("Question"=TBL_008_Qs_Lot_1[Type]),0))&lt;&gt;"", INDEX(TBL_008_Qs_Lot_1[App_pages], MATCH(1, (TBL_SQ_Qs_Lot_1[[#This Row],[Q. No.]]=TBL_008_Qs_Lot_1[Q.])*("Question"=TBL_008_Qs_Lot_1[Type]),0)), ""), "")</f>
        <v/>
      </c>
      <c r="J87" s="296" t="str">
        <f t="array" ref="J87">IF(TBL_SQ_Qs_Lot_1[[#This Row],[Type]]="Details", IF(INDEX(TBL_008_Qs_Lot_1[App_sub-qs], MATCH(1, (TBL_SQ_Qs_Lot_1[[#This Row],[Q. No.]]=TBL_008_Qs_Lot_1[Q.])*("Question"=TBL_008_Qs_Lot_1[Type]),0))&lt;&gt;"", INDEX(TBL_008_Qs_Lot_1[App_sub-qs], MATCH(1, (TBL_SQ_Qs_Lot_1[[#This Row],[Q. No.]]=TBL_008_Qs_Lot_1[Q.])*("Question"=TBL_008_Qs_Lot_1[Type]),0)), ""), "")</f>
        <v/>
      </c>
      <c r="K87" s="296" t="str">
        <f t="array" ref="K87">IF(TBL_SQ_Qs_Lot_1[[#This Row],[Type]]="Details", INDEX(TBL_008_Qs_Lot_1[Weighting], MATCH(1, (TBL_SQ_Qs_Lot_1[[#This Row],[Q. No.]]=TBL_008_Qs_Lot_1[Q.])*("Question"=TBL_008_Qs_Lot_1[Type]),0)), "")</f>
        <v/>
      </c>
      <c r="L87" s="296" t="str">
        <f>IF($H$4="No", "Shade", IF(OR(TBL_SQ_Qs_Lot_1[[#This Row],[Question]]="Not used
", AND(TBL_SQ_Qs_Lot_1[[#This Row],[Type]]="Details", TBL_SQ_Qs_Lot_1[[#This Row],[Subs]]=0)), "Shade", ""))</f>
        <v>Shade</v>
      </c>
    </row>
    <row r="88" spans="1:12" ht="25" hidden="1" customHeight="1">
      <c r="A88" s="239" t="s">
        <v>423</v>
      </c>
      <c r="B88" s="84" t="str">
        <f t="array" ref="B8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8" s="234"/>
      <c r="D88" s="297" t="str">
        <f>IF(TBL_SQ_Qs_Lot_1[[#This Row],[Type]]="Question", IF(OR(TBL_SQ_Qs_Lot_1[[#This Row],[Shade?]]="Shade", TBL_SQ_Qs_Lot_1[[#This Row],[Question]]="Question not used
"), "", IF(TBL_SQ_Qs_Lot_1[[#This Row],[Response]]&lt;&gt;"", "Done", "Add")), "")</f>
        <v/>
      </c>
      <c r="E88" s="407" t="s">
        <v>779</v>
      </c>
      <c r="F88" s="296" t="str">
        <f t="array" ref="F88">IF(TBL_SQ_Qs_Lot_1[[#This Row],[Type]]="Details", INDEX(TBL_008_Qs_Lot_1[Word limit], MATCH(1, (TBL_SQ_Qs_Lot_1[[#This Row],[Q. No.]]=TBL_008_Qs_Lot_1[Q.])*("Question"=TBL_008_Qs_Lot_1[Type]),0)), "")</f>
        <v/>
      </c>
      <c r="G88" s="296" t="str">
        <f t="array" ref="G88">IF(TBL_SQ_Qs_Lot_1[[#This Row],[Type]]="Details", INDEX(TBL_008_Qs_Lot_1[Max score], MATCH(1, (TBL_SQ_Qs_Lot_1[[#This Row],[Q. No.]]=TBL_008_Qs_Lot_1[Q.])*("Question"=TBL_008_Qs_Lot_1[Type]),0)), "")</f>
        <v/>
      </c>
      <c r="H88" s="296" t="str">
        <f t="array" ref="H88">IF(TBL_SQ_Qs_Lot_1[[#This Row],[Type]]="Details", INDEX(TBL_008_Qs_Lot_1[No.subs], MATCH(1, (TBL_SQ_Qs_Lot_1[[#This Row],[Q. No.]]=TBL_008_Qs_Lot_1[Q.])*("Question"=TBL_008_Qs_Lot_1[Type]),0)), "")</f>
        <v/>
      </c>
      <c r="I88" s="296" t="str">
        <f t="array" ref="I88">IF(TBL_SQ_Qs_Lot_1[[#This Row],[Type]]="Details", IF(INDEX(TBL_008_Qs_Lot_1[App_pages], MATCH(1, (TBL_SQ_Qs_Lot_1[[#This Row],[Q. No.]]=TBL_008_Qs_Lot_1[Q.])*("Question"=TBL_008_Qs_Lot_1[Type]),0))&lt;&gt;"", INDEX(TBL_008_Qs_Lot_1[App_pages], MATCH(1, (TBL_SQ_Qs_Lot_1[[#This Row],[Q. No.]]=TBL_008_Qs_Lot_1[Q.])*("Question"=TBL_008_Qs_Lot_1[Type]),0)), ""), "")</f>
        <v/>
      </c>
      <c r="J88" s="296" t="str">
        <f t="array" ref="J88">IF(TBL_SQ_Qs_Lot_1[[#This Row],[Type]]="Details", IF(INDEX(TBL_008_Qs_Lot_1[App_sub-qs], MATCH(1, (TBL_SQ_Qs_Lot_1[[#This Row],[Q. No.]]=TBL_008_Qs_Lot_1[Q.])*("Question"=TBL_008_Qs_Lot_1[Type]),0))&lt;&gt;"", INDEX(TBL_008_Qs_Lot_1[App_sub-qs], MATCH(1, (TBL_SQ_Qs_Lot_1[[#This Row],[Q. No.]]=TBL_008_Qs_Lot_1[Q.])*("Question"=TBL_008_Qs_Lot_1[Type]),0)), ""), "")</f>
        <v/>
      </c>
      <c r="K88" s="296" t="str">
        <f t="array" ref="K88">IF(TBL_SQ_Qs_Lot_1[[#This Row],[Type]]="Details", INDEX(TBL_008_Qs_Lot_1[Weighting], MATCH(1, (TBL_SQ_Qs_Lot_1[[#This Row],[Q. No.]]=TBL_008_Qs_Lot_1[Q.])*("Question"=TBL_008_Qs_Lot_1[Type]),0)), "")</f>
        <v/>
      </c>
      <c r="L88" s="296" t="str">
        <f>IF($H$4="No", "Shade", IF(OR(TBL_SQ_Qs_Lot_1[[#This Row],[Question]]="Not used
", AND(TBL_SQ_Qs_Lot_1[[#This Row],[Type]]="Details", TBL_SQ_Qs_Lot_1[[#This Row],[Subs]]=0)), "Shade", ""))</f>
        <v>Shade</v>
      </c>
    </row>
    <row r="89" spans="1:12" ht="25" hidden="1" customHeight="1">
      <c r="A89" s="239" t="s">
        <v>424</v>
      </c>
      <c r="B89" s="84" t="str">
        <f t="array" ref="B8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89" s="234"/>
      <c r="D89" s="297" t="str">
        <f>IF(TBL_SQ_Qs_Lot_1[[#This Row],[Type]]="Question", IF(OR(TBL_SQ_Qs_Lot_1[[#This Row],[Shade?]]="Shade", TBL_SQ_Qs_Lot_1[[#This Row],[Question]]="Question not used
"), "", IF(TBL_SQ_Qs_Lot_1[[#This Row],[Response]]&lt;&gt;"", "Done", "Add")), "")</f>
        <v/>
      </c>
      <c r="E89" s="407" t="s">
        <v>779</v>
      </c>
      <c r="F89" s="296" t="str">
        <f t="array" ref="F89">IF(TBL_SQ_Qs_Lot_1[[#This Row],[Type]]="Details", INDEX(TBL_008_Qs_Lot_1[Word limit], MATCH(1, (TBL_SQ_Qs_Lot_1[[#This Row],[Q. No.]]=TBL_008_Qs_Lot_1[Q.])*("Question"=TBL_008_Qs_Lot_1[Type]),0)), "")</f>
        <v/>
      </c>
      <c r="G89" s="296" t="str">
        <f t="array" ref="G89">IF(TBL_SQ_Qs_Lot_1[[#This Row],[Type]]="Details", INDEX(TBL_008_Qs_Lot_1[Max score], MATCH(1, (TBL_SQ_Qs_Lot_1[[#This Row],[Q. No.]]=TBL_008_Qs_Lot_1[Q.])*("Question"=TBL_008_Qs_Lot_1[Type]),0)), "")</f>
        <v/>
      </c>
      <c r="H89" s="296" t="str">
        <f t="array" ref="H89">IF(TBL_SQ_Qs_Lot_1[[#This Row],[Type]]="Details", INDEX(TBL_008_Qs_Lot_1[No.subs], MATCH(1, (TBL_SQ_Qs_Lot_1[[#This Row],[Q. No.]]=TBL_008_Qs_Lot_1[Q.])*("Question"=TBL_008_Qs_Lot_1[Type]),0)), "")</f>
        <v/>
      </c>
      <c r="I89" s="296" t="str">
        <f t="array" ref="I89">IF(TBL_SQ_Qs_Lot_1[[#This Row],[Type]]="Details", IF(INDEX(TBL_008_Qs_Lot_1[App_pages], MATCH(1, (TBL_SQ_Qs_Lot_1[[#This Row],[Q. No.]]=TBL_008_Qs_Lot_1[Q.])*("Question"=TBL_008_Qs_Lot_1[Type]),0))&lt;&gt;"", INDEX(TBL_008_Qs_Lot_1[App_pages], MATCH(1, (TBL_SQ_Qs_Lot_1[[#This Row],[Q. No.]]=TBL_008_Qs_Lot_1[Q.])*("Question"=TBL_008_Qs_Lot_1[Type]),0)), ""), "")</f>
        <v/>
      </c>
      <c r="J89" s="296" t="str">
        <f t="array" ref="J89">IF(TBL_SQ_Qs_Lot_1[[#This Row],[Type]]="Details", IF(INDEX(TBL_008_Qs_Lot_1[App_sub-qs], MATCH(1, (TBL_SQ_Qs_Lot_1[[#This Row],[Q. No.]]=TBL_008_Qs_Lot_1[Q.])*("Question"=TBL_008_Qs_Lot_1[Type]),0))&lt;&gt;"", INDEX(TBL_008_Qs_Lot_1[App_sub-qs], MATCH(1, (TBL_SQ_Qs_Lot_1[[#This Row],[Q. No.]]=TBL_008_Qs_Lot_1[Q.])*("Question"=TBL_008_Qs_Lot_1[Type]),0)), ""), "")</f>
        <v/>
      </c>
      <c r="K89" s="296" t="str">
        <f t="array" ref="K89">IF(TBL_SQ_Qs_Lot_1[[#This Row],[Type]]="Details", INDEX(TBL_008_Qs_Lot_1[Weighting], MATCH(1, (TBL_SQ_Qs_Lot_1[[#This Row],[Q. No.]]=TBL_008_Qs_Lot_1[Q.])*("Question"=TBL_008_Qs_Lot_1[Type]),0)), "")</f>
        <v/>
      </c>
      <c r="L89" s="296" t="str">
        <f>IF($H$4="No", "Shade", IF(OR(TBL_SQ_Qs_Lot_1[[#This Row],[Question]]="Not used
", AND(TBL_SQ_Qs_Lot_1[[#This Row],[Type]]="Details", TBL_SQ_Qs_Lot_1[[#This Row],[Subs]]=0)), "Shade", ""))</f>
        <v>Shade</v>
      </c>
    </row>
    <row r="90" spans="1:12" ht="25" hidden="1" customHeight="1">
      <c r="A90" s="239" t="s">
        <v>452</v>
      </c>
      <c r="B90" s="84" t="str">
        <f t="array" ref="B9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0" s="234"/>
      <c r="D90" s="297" t="str">
        <f>IF(TBL_SQ_Qs_Lot_1[[#This Row],[Type]]="Question", IF(OR(TBL_SQ_Qs_Lot_1[[#This Row],[Shade?]]="Shade", TBL_SQ_Qs_Lot_1[[#This Row],[Question]]="Question not used
"), "", IF(TBL_SQ_Qs_Lot_1[[#This Row],[Response]]&lt;&gt;"", "Done", "Add")), "")</f>
        <v/>
      </c>
      <c r="E90" s="407" t="s">
        <v>779</v>
      </c>
      <c r="F90" s="296" t="str">
        <f t="array" ref="F90">IF(TBL_SQ_Qs_Lot_1[[#This Row],[Type]]="Details", INDEX(TBL_008_Qs_Lot_1[Word limit], MATCH(1, (TBL_SQ_Qs_Lot_1[[#This Row],[Q. No.]]=TBL_008_Qs_Lot_1[Q.])*("Question"=TBL_008_Qs_Lot_1[Type]),0)), "")</f>
        <v/>
      </c>
      <c r="G90" s="296" t="str">
        <f t="array" ref="G90">IF(TBL_SQ_Qs_Lot_1[[#This Row],[Type]]="Details", INDEX(TBL_008_Qs_Lot_1[Max score], MATCH(1, (TBL_SQ_Qs_Lot_1[[#This Row],[Q. No.]]=TBL_008_Qs_Lot_1[Q.])*("Question"=TBL_008_Qs_Lot_1[Type]),0)), "")</f>
        <v/>
      </c>
      <c r="H90" s="296" t="str">
        <f t="array" ref="H90">IF(TBL_SQ_Qs_Lot_1[[#This Row],[Type]]="Details", INDEX(TBL_008_Qs_Lot_1[No.subs], MATCH(1, (TBL_SQ_Qs_Lot_1[[#This Row],[Q. No.]]=TBL_008_Qs_Lot_1[Q.])*("Question"=TBL_008_Qs_Lot_1[Type]),0)), "")</f>
        <v/>
      </c>
      <c r="I90" s="296" t="str">
        <f t="array" ref="I90">IF(TBL_SQ_Qs_Lot_1[[#This Row],[Type]]="Details", IF(INDEX(TBL_008_Qs_Lot_1[App_pages], MATCH(1, (TBL_SQ_Qs_Lot_1[[#This Row],[Q. No.]]=TBL_008_Qs_Lot_1[Q.])*("Question"=TBL_008_Qs_Lot_1[Type]),0))&lt;&gt;"", INDEX(TBL_008_Qs_Lot_1[App_pages], MATCH(1, (TBL_SQ_Qs_Lot_1[[#This Row],[Q. No.]]=TBL_008_Qs_Lot_1[Q.])*("Question"=TBL_008_Qs_Lot_1[Type]),0)), ""), "")</f>
        <v/>
      </c>
      <c r="J90" s="296" t="str">
        <f t="array" ref="J90">IF(TBL_SQ_Qs_Lot_1[[#This Row],[Type]]="Details", IF(INDEX(TBL_008_Qs_Lot_1[App_sub-qs], MATCH(1, (TBL_SQ_Qs_Lot_1[[#This Row],[Q. No.]]=TBL_008_Qs_Lot_1[Q.])*("Question"=TBL_008_Qs_Lot_1[Type]),0))&lt;&gt;"", INDEX(TBL_008_Qs_Lot_1[App_sub-qs], MATCH(1, (TBL_SQ_Qs_Lot_1[[#This Row],[Q. No.]]=TBL_008_Qs_Lot_1[Q.])*("Question"=TBL_008_Qs_Lot_1[Type]),0)), ""), "")</f>
        <v/>
      </c>
      <c r="K90" s="296" t="str">
        <f t="array" ref="K90">IF(TBL_SQ_Qs_Lot_1[[#This Row],[Type]]="Details", INDEX(TBL_008_Qs_Lot_1[Weighting], MATCH(1, (TBL_SQ_Qs_Lot_1[[#This Row],[Q. No.]]=TBL_008_Qs_Lot_1[Q.])*("Question"=TBL_008_Qs_Lot_1[Type]),0)), "")</f>
        <v/>
      </c>
      <c r="L90" s="296" t="str">
        <f>IF($H$4="No", "Shade", IF(OR(TBL_SQ_Qs_Lot_1[[#This Row],[Question]]="Not used
", AND(TBL_SQ_Qs_Lot_1[[#This Row],[Type]]="Details", TBL_SQ_Qs_Lot_1[[#This Row],[Subs]]=0)), "Shade", ""))</f>
        <v>Shade</v>
      </c>
    </row>
    <row r="91" spans="1:12" ht="25" hidden="1" customHeight="1">
      <c r="A91" s="239" t="s">
        <v>453</v>
      </c>
      <c r="B91" s="84" t="str">
        <f t="array" ref="B9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1" s="234"/>
      <c r="D91" s="297" t="str">
        <f>IF(TBL_SQ_Qs_Lot_1[[#This Row],[Type]]="Question", IF(OR(TBL_SQ_Qs_Lot_1[[#This Row],[Shade?]]="Shade", TBL_SQ_Qs_Lot_1[[#This Row],[Question]]="Question not used
"), "", IF(TBL_SQ_Qs_Lot_1[[#This Row],[Response]]&lt;&gt;"", "Done", "Add")), "")</f>
        <v/>
      </c>
      <c r="E91" s="407" t="s">
        <v>779</v>
      </c>
      <c r="F91" s="296" t="str">
        <f t="array" ref="F91">IF(TBL_SQ_Qs_Lot_1[[#This Row],[Type]]="Details", INDEX(TBL_008_Qs_Lot_1[Word limit], MATCH(1, (TBL_SQ_Qs_Lot_1[[#This Row],[Q. No.]]=TBL_008_Qs_Lot_1[Q.])*("Question"=TBL_008_Qs_Lot_1[Type]),0)), "")</f>
        <v/>
      </c>
      <c r="G91" s="296" t="str">
        <f t="array" ref="G91">IF(TBL_SQ_Qs_Lot_1[[#This Row],[Type]]="Details", INDEX(TBL_008_Qs_Lot_1[Max score], MATCH(1, (TBL_SQ_Qs_Lot_1[[#This Row],[Q. No.]]=TBL_008_Qs_Lot_1[Q.])*("Question"=TBL_008_Qs_Lot_1[Type]),0)), "")</f>
        <v/>
      </c>
      <c r="H91" s="296" t="str">
        <f t="array" ref="H91">IF(TBL_SQ_Qs_Lot_1[[#This Row],[Type]]="Details", INDEX(TBL_008_Qs_Lot_1[No.subs], MATCH(1, (TBL_SQ_Qs_Lot_1[[#This Row],[Q. No.]]=TBL_008_Qs_Lot_1[Q.])*("Question"=TBL_008_Qs_Lot_1[Type]),0)), "")</f>
        <v/>
      </c>
      <c r="I91" s="296" t="str">
        <f t="array" ref="I91">IF(TBL_SQ_Qs_Lot_1[[#This Row],[Type]]="Details", IF(INDEX(TBL_008_Qs_Lot_1[App_pages], MATCH(1, (TBL_SQ_Qs_Lot_1[[#This Row],[Q. No.]]=TBL_008_Qs_Lot_1[Q.])*("Question"=TBL_008_Qs_Lot_1[Type]),0))&lt;&gt;"", INDEX(TBL_008_Qs_Lot_1[App_pages], MATCH(1, (TBL_SQ_Qs_Lot_1[[#This Row],[Q. No.]]=TBL_008_Qs_Lot_1[Q.])*("Question"=TBL_008_Qs_Lot_1[Type]),0)), ""), "")</f>
        <v/>
      </c>
      <c r="J91" s="296" t="str">
        <f t="array" ref="J91">IF(TBL_SQ_Qs_Lot_1[[#This Row],[Type]]="Details", IF(INDEX(TBL_008_Qs_Lot_1[App_sub-qs], MATCH(1, (TBL_SQ_Qs_Lot_1[[#This Row],[Q. No.]]=TBL_008_Qs_Lot_1[Q.])*("Question"=TBL_008_Qs_Lot_1[Type]),0))&lt;&gt;"", INDEX(TBL_008_Qs_Lot_1[App_sub-qs], MATCH(1, (TBL_SQ_Qs_Lot_1[[#This Row],[Q. No.]]=TBL_008_Qs_Lot_1[Q.])*("Question"=TBL_008_Qs_Lot_1[Type]),0)), ""), "")</f>
        <v/>
      </c>
      <c r="K91" s="296" t="str">
        <f t="array" ref="K91">IF(TBL_SQ_Qs_Lot_1[[#This Row],[Type]]="Details", INDEX(TBL_008_Qs_Lot_1[Weighting], MATCH(1, (TBL_SQ_Qs_Lot_1[[#This Row],[Q. No.]]=TBL_008_Qs_Lot_1[Q.])*("Question"=TBL_008_Qs_Lot_1[Type]),0)), "")</f>
        <v/>
      </c>
      <c r="L91" s="296" t="str">
        <f>IF($H$4="No", "Shade", IF(OR(TBL_SQ_Qs_Lot_1[[#This Row],[Question]]="Not used
", AND(TBL_SQ_Qs_Lot_1[[#This Row],[Type]]="Details", TBL_SQ_Qs_Lot_1[[#This Row],[Subs]]=0)), "Shade", ""))</f>
        <v>Shade</v>
      </c>
    </row>
    <row r="92" spans="1:12" ht="25" hidden="1" customHeight="1">
      <c r="A92" s="239" t="s">
        <v>425</v>
      </c>
      <c r="B92" s="84" t="str">
        <f t="array" ref="B9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2" s="234"/>
      <c r="D92" s="297" t="str">
        <f>IF(TBL_SQ_Qs_Lot_1[[#This Row],[Type]]="Question", IF(OR(TBL_SQ_Qs_Lot_1[[#This Row],[Shade?]]="Shade", TBL_SQ_Qs_Lot_1[[#This Row],[Question]]="Question not used
"), "", IF(TBL_SQ_Qs_Lot_1[[#This Row],[Response]]&lt;&gt;"", "Done", "Add")), "")</f>
        <v/>
      </c>
      <c r="E92" s="407" t="s">
        <v>779</v>
      </c>
      <c r="F92" s="296" t="str">
        <f t="array" ref="F92">IF(TBL_SQ_Qs_Lot_1[[#This Row],[Type]]="Details", INDEX(TBL_008_Qs_Lot_1[Word limit], MATCH(1, (TBL_SQ_Qs_Lot_1[[#This Row],[Q. No.]]=TBL_008_Qs_Lot_1[Q.])*("Question"=TBL_008_Qs_Lot_1[Type]),0)), "")</f>
        <v/>
      </c>
      <c r="G92" s="296" t="str">
        <f t="array" ref="G92">IF(TBL_SQ_Qs_Lot_1[[#This Row],[Type]]="Details", INDEX(TBL_008_Qs_Lot_1[Max score], MATCH(1, (TBL_SQ_Qs_Lot_1[[#This Row],[Q. No.]]=TBL_008_Qs_Lot_1[Q.])*("Question"=TBL_008_Qs_Lot_1[Type]),0)), "")</f>
        <v/>
      </c>
      <c r="H92" s="296" t="str">
        <f t="array" ref="H92">IF(TBL_SQ_Qs_Lot_1[[#This Row],[Type]]="Details", INDEX(TBL_008_Qs_Lot_1[No.subs], MATCH(1, (TBL_SQ_Qs_Lot_1[[#This Row],[Q. No.]]=TBL_008_Qs_Lot_1[Q.])*("Question"=TBL_008_Qs_Lot_1[Type]),0)), "")</f>
        <v/>
      </c>
      <c r="I92" s="296" t="str">
        <f t="array" ref="I92">IF(TBL_SQ_Qs_Lot_1[[#This Row],[Type]]="Details", IF(INDEX(TBL_008_Qs_Lot_1[App_pages], MATCH(1, (TBL_SQ_Qs_Lot_1[[#This Row],[Q. No.]]=TBL_008_Qs_Lot_1[Q.])*("Question"=TBL_008_Qs_Lot_1[Type]),0))&lt;&gt;"", INDEX(TBL_008_Qs_Lot_1[App_pages], MATCH(1, (TBL_SQ_Qs_Lot_1[[#This Row],[Q. No.]]=TBL_008_Qs_Lot_1[Q.])*("Question"=TBL_008_Qs_Lot_1[Type]),0)), ""), "")</f>
        <v/>
      </c>
      <c r="J92" s="296" t="str">
        <f t="array" ref="J92">IF(TBL_SQ_Qs_Lot_1[[#This Row],[Type]]="Details", IF(INDEX(TBL_008_Qs_Lot_1[App_sub-qs], MATCH(1, (TBL_SQ_Qs_Lot_1[[#This Row],[Q. No.]]=TBL_008_Qs_Lot_1[Q.])*("Question"=TBL_008_Qs_Lot_1[Type]),0))&lt;&gt;"", INDEX(TBL_008_Qs_Lot_1[App_sub-qs], MATCH(1, (TBL_SQ_Qs_Lot_1[[#This Row],[Q. No.]]=TBL_008_Qs_Lot_1[Q.])*("Question"=TBL_008_Qs_Lot_1[Type]),0)), ""), "")</f>
        <v/>
      </c>
      <c r="K92" s="296" t="str">
        <f t="array" ref="K92">IF(TBL_SQ_Qs_Lot_1[[#This Row],[Type]]="Details", INDEX(TBL_008_Qs_Lot_1[Weighting], MATCH(1, (TBL_SQ_Qs_Lot_1[[#This Row],[Q. No.]]=TBL_008_Qs_Lot_1[Q.])*("Question"=TBL_008_Qs_Lot_1[Type]),0)), "")</f>
        <v/>
      </c>
      <c r="L92" s="296" t="str">
        <f>IF($H$4="No", "Shade", IF(OR(TBL_SQ_Qs_Lot_1[[#This Row],[Question]]="Not used
", AND(TBL_SQ_Qs_Lot_1[[#This Row],[Type]]="Details", TBL_SQ_Qs_Lot_1[[#This Row],[Subs]]=0)), "Shade", ""))</f>
        <v>Shade</v>
      </c>
    </row>
    <row r="93" spans="1:12" ht="25" hidden="1" customHeight="1">
      <c r="A93" s="239" t="s">
        <v>426</v>
      </c>
      <c r="B93" s="84" t="str">
        <f t="array" ref="B9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3" s="234"/>
      <c r="D93" s="297" t="str">
        <f>IF(TBL_SQ_Qs_Lot_1[[#This Row],[Type]]="Question", IF(OR(TBL_SQ_Qs_Lot_1[[#This Row],[Shade?]]="Shade", TBL_SQ_Qs_Lot_1[[#This Row],[Question]]="Question not used
"), "", IF(TBL_SQ_Qs_Lot_1[[#This Row],[Response]]&lt;&gt;"", "Done", "Add")), "")</f>
        <v/>
      </c>
      <c r="E93" s="407" t="s">
        <v>779</v>
      </c>
      <c r="F93" s="296" t="str">
        <f t="array" ref="F93">IF(TBL_SQ_Qs_Lot_1[[#This Row],[Type]]="Details", INDEX(TBL_008_Qs_Lot_1[Word limit], MATCH(1, (TBL_SQ_Qs_Lot_1[[#This Row],[Q. No.]]=TBL_008_Qs_Lot_1[Q.])*("Question"=TBL_008_Qs_Lot_1[Type]),0)), "")</f>
        <v/>
      </c>
      <c r="G93" s="296" t="str">
        <f t="array" ref="G93">IF(TBL_SQ_Qs_Lot_1[[#This Row],[Type]]="Details", INDEX(TBL_008_Qs_Lot_1[Max score], MATCH(1, (TBL_SQ_Qs_Lot_1[[#This Row],[Q. No.]]=TBL_008_Qs_Lot_1[Q.])*("Question"=TBL_008_Qs_Lot_1[Type]),0)), "")</f>
        <v/>
      </c>
      <c r="H93" s="296" t="str">
        <f t="array" ref="H93">IF(TBL_SQ_Qs_Lot_1[[#This Row],[Type]]="Details", INDEX(TBL_008_Qs_Lot_1[No.subs], MATCH(1, (TBL_SQ_Qs_Lot_1[[#This Row],[Q. No.]]=TBL_008_Qs_Lot_1[Q.])*("Question"=TBL_008_Qs_Lot_1[Type]),0)), "")</f>
        <v/>
      </c>
      <c r="I93" s="296" t="str">
        <f t="array" ref="I93">IF(TBL_SQ_Qs_Lot_1[[#This Row],[Type]]="Details", IF(INDEX(TBL_008_Qs_Lot_1[App_pages], MATCH(1, (TBL_SQ_Qs_Lot_1[[#This Row],[Q. No.]]=TBL_008_Qs_Lot_1[Q.])*("Question"=TBL_008_Qs_Lot_1[Type]),0))&lt;&gt;"", INDEX(TBL_008_Qs_Lot_1[App_pages], MATCH(1, (TBL_SQ_Qs_Lot_1[[#This Row],[Q. No.]]=TBL_008_Qs_Lot_1[Q.])*("Question"=TBL_008_Qs_Lot_1[Type]),0)), ""), "")</f>
        <v/>
      </c>
      <c r="J93" s="296" t="str">
        <f t="array" ref="J93">IF(TBL_SQ_Qs_Lot_1[[#This Row],[Type]]="Details", IF(INDEX(TBL_008_Qs_Lot_1[App_sub-qs], MATCH(1, (TBL_SQ_Qs_Lot_1[[#This Row],[Q. No.]]=TBL_008_Qs_Lot_1[Q.])*("Question"=TBL_008_Qs_Lot_1[Type]),0))&lt;&gt;"", INDEX(TBL_008_Qs_Lot_1[App_sub-qs], MATCH(1, (TBL_SQ_Qs_Lot_1[[#This Row],[Q. No.]]=TBL_008_Qs_Lot_1[Q.])*("Question"=TBL_008_Qs_Lot_1[Type]),0)), ""), "")</f>
        <v/>
      </c>
      <c r="K93" s="296" t="str">
        <f t="array" ref="K93">IF(TBL_SQ_Qs_Lot_1[[#This Row],[Type]]="Details", INDEX(TBL_008_Qs_Lot_1[Weighting], MATCH(1, (TBL_SQ_Qs_Lot_1[[#This Row],[Q. No.]]=TBL_008_Qs_Lot_1[Q.])*("Question"=TBL_008_Qs_Lot_1[Type]),0)), "")</f>
        <v/>
      </c>
      <c r="L93" s="296" t="str">
        <f>IF($H$4="No", "Shade", IF(OR(TBL_SQ_Qs_Lot_1[[#This Row],[Question]]="Not used
", AND(TBL_SQ_Qs_Lot_1[[#This Row],[Type]]="Details", TBL_SQ_Qs_Lot_1[[#This Row],[Subs]]=0)), "Shade", ""))</f>
        <v>Shade</v>
      </c>
    </row>
    <row r="94" spans="1:12" ht="25" hidden="1" customHeight="1">
      <c r="A94" s="239" t="s">
        <v>427</v>
      </c>
      <c r="B94" s="84" t="str">
        <f t="array" ref="B9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4" s="234"/>
      <c r="D94" s="297" t="str">
        <f>IF(TBL_SQ_Qs_Lot_1[[#This Row],[Type]]="Question", IF(OR(TBL_SQ_Qs_Lot_1[[#This Row],[Shade?]]="Shade", TBL_SQ_Qs_Lot_1[[#This Row],[Question]]="Question not used
"), "", IF(TBL_SQ_Qs_Lot_1[[#This Row],[Response]]&lt;&gt;"", "Done", "Add")), "")</f>
        <v/>
      </c>
      <c r="E94" s="407" t="s">
        <v>779</v>
      </c>
      <c r="F94" s="296" t="str">
        <f t="array" ref="F94">IF(TBL_SQ_Qs_Lot_1[[#This Row],[Type]]="Details", INDEX(TBL_008_Qs_Lot_1[Word limit], MATCH(1, (TBL_SQ_Qs_Lot_1[[#This Row],[Q. No.]]=TBL_008_Qs_Lot_1[Q.])*("Question"=TBL_008_Qs_Lot_1[Type]),0)), "")</f>
        <v/>
      </c>
      <c r="G94" s="296" t="str">
        <f t="array" ref="G94">IF(TBL_SQ_Qs_Lot_1[[#This Row],[Type]]="Details", INDEX(TBL_008_Qs_Lot_1[Max score], MATCH(1, (TBL_SQ_Qs_Lot_1[[#This Row],[Q. No.]]=TBL_008_Qs_Lot_1[Q.])*("Question"=TBL_008_Qs_Lot_1[Type]),0)), "")</f>
        <v/>
      </c>
      <c r="H94" s="296" t="str">
        <f t="array" ref="H94">IF(TBL_SQ_Qs_Lot_1[[#This Row],[Type]]="Details", INDEX(TBL_008_Qs_Lot_1[No.subs], MATCH(1, (TBL_SQ_Qs_Lot_1[[#This Row],[Q. No.]]=TBL_008_Qs_Lot_1[Q.])*("Question"=TBL_008_Qs_Lot_1[Type]),0)), "")</f>
        <v/>
      </c>
      <c r="I94" s="296" t="str">
        <f t="array" ref="I94">IF(TBL_SQ_Qs_Lot_1[[#This Row],[Type]]="Details", IF(INDEX(TBL_008_Qs_Lot_1[App_pages], MATCH(1, (TBL_SQ_Qs_Lot_1[[#This Row],[Q. No.]]=TBL_008_Qs_Lot_1[Q.])*("Question"=TBL_008_Qs_Lot_1[Type]),0))&lt;&gt;"", INDEX(TBL_008_Qs_Lot_1[App_pages], MATCH(1, (TBL_SQ_Qs_Lot_1[[#This Row],[Q. No.]]=TBL_008_Qs_Lot_1[Q.])*("Question"=TBL_008_Qs_Lot_1[Type]),0)), ""), "")</f>
        <v/>
      </c>
      <c r="J94" s="296" t="str">
        <f t="array" ref="J94">IF(TBL_SQ_Qs_Lot_1[[#This Row],[Type]]="Details", IF(INDEX(TBL_008_Qs_Lot_1[App_sub-qs], MATCH(1, (TBL_SQ_Qs_Lot_1[[#This Row],[Q. No.]]=TBL_008_Qs_Lot_1[Q.])*("Question"=TBL_008_Qs_Lot_1[Type]),0))&lt;&gt;"", INDEX(TBL_008_Qs_Lot_1[App_sub-qs], MATCH(1, (TBL_SQ_Qs_Lot_1[[#This Row],[Q. No.]]=TBL_008_Qs_Lot_1[Q.])*("Question"=TBL_008_Qs_Lot_1[Type]),0)), ""), "")</f>
        <v/>
      </c>
      <c r="K94" s="296" t="str">
        <f t="array" ref="K94">IF(TBL_SQ_Qs_Lot_1[[#This Row],[Type]]="Details", INDEX(TBL_008_Qs_Lot_1[Weighting], MATCH(1, (TBL_SQ_Qs_Lot_1[[#This Row],[Q. No.]]=TBL_008_Qs_Lot_1[Q.])*("Question"=TBL_008_Qs_Lot_1[Type]),0)), "")</f>
        <v/>
      </c>
      <c r="L94" s="296" t="str">
        <f>IF($H$4="No", "Shade", IF(OR(TBL_SQ_Qs_Lot_1[[#This Row],[Question]]="Not used
", AND(TBL_SQ_Qs_Lot_1[[#This Row],[Type]]="Details", TBL_SQ_Qs_Lot_1[[#This Row],[Subs]]=0)), "Shade", ""))</f>
        <v>Shade</v>
      </c>
    </row>
    <row r="95" spans="1:12" ht="25" hidden="1" customHeight="1">
      <c r="A95" s="239" t="s">
        <v>428</v>
      </c>
      <c r="B95" s="84" t="str">
        <f t="array" ref="B9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5" s="234"/>
      <c r="D95" s="297" t="str">
        <f>IF(TBL_SQ_Qs_Lot_1[[#This Row],[Type]]="Question", IF(OR(TBL_SQ_Qs_Lot_1[[#This Row],[Shade?]]="Shade", TBL_SQ_Qs_Lot_1[[#This Row],[Question]]="Question not used
"), "", IF(TBL_SQ_Qs_Lot_1[[#This Row],[Response]]&lt;&gt;"", "Done", "Add")), "")</f>
        <v/>
      </c>
      <c r="E95" s="407" t="s">
        <v>779</v>
      </c>
      <c r="F95" s="296" t="str">
        <f t="array" ref="F95">IF(TBL_SQ_Qs_Lot_1[[#This Row],[Type]]="Details", INDEX(TBL_008_Qs_Lot_1[Word limit], MATCH(1, (TBL_SQ_Qs_Lot_1[[#This Row],[Q. No.]]=TBL_008_Qs_Lot_1[Q.])*("Question"=TBL_008_Qs_Lot_1[Type]),0)), "")</f>
        <v/>
      </c>
      <c r="G95" s="296" t="str">
        <f t="array" ref="G95">IF(TBL_SQ_Qs_Lot_1[[#This Row],[Type]]="Details", INDEX(TBL_008_Qs_Lot_1[Max score], MATCH(1, (TBL_SQ_Qs_Lot_1[[#This Row],[Q. No.]]=TBL_008_Qs_Lot_1[Q.])*("Question"=TBL_008_Qs_Lot_1[Type]),0)), "")</f>
        <v/>
      </c>
      <c r="H95" s="296" t="str">
        <f t="array" ref="H95">IF(TBL_SQ_Qs_Lot_1[[#This Row],[Type]]="Details", INDEX(TBL_008_Qs_Lot_1[No.subs], MATCH(1, (TBL_SQ_Qs_Lot_1[[#This Row],[Q. No.]]=TBL_008_Qs_Lot_1[Q.])*("Question"=TBL_008_Qs_Lot_1[Type]),0)), "")</f>
        <v/>
      </c>
      <c r="I95" s="296" t="str">
        <f t="array" ref="I95">IF(TBL_SQ_Qs_Lot_1[[#This Row],[Type]]="Details", IF(INDEX(TBL_008_Qs_Lot_1[App_pages], MATCH(1, (TBL_SQ_Qs_Lot_1[[#This Row],[Q. No.]]=TBL_008_Qs_Lot_1[Q.])*("Question"=TBL_008_Qs_Lot_1[Type]),0))&lt;&gt;"", INDEX(TBL_008_Qs_Lot_1[App_pages], MATCH(1, (TBL_SQ_Qs_Lot_1[[#This Row],[Q. No.]]=TBL_008_Qs_Lot_1[Q.])*("Question"=TBL_008_Qs_Lot_1[Type]),0)), ""), "")</f>
        <v/>
      </c>
      <c r="J95" s="296" t="str">
        <f t="array" ref="J95">IF(TBL_SQ_Qs_Lot_1[[#This Row],[Type]]="Details", IF(INDEX(TBL_008_Qs_Lot_1[App_sub-qs], MATCH(1, (TBL_SQ_Qs_Lot_1[[#This Row],[Q. No.]]=TBL_008_Qs_Lot_1[Q.])*("Question"=TBL_008_Qs_Lot_1[Type]),0))&lt;&gt;"", INDEX(TBL_008_Qs_Lot_1[App_sub-qs], MATCH(1, (TBL_SQ_Qs_Lot_1[[#This Row],[Q. No.]]=TBL_008_Qs_Lot_1[Q.])*("Question"=TBL_008_Qs_Lot_1[Type]),0)), ""), "")</f>
        <v/>
      </c>
      <c r="K95" s="296" t="str">
        <f t="array" ref="K95">IF(TBL_SQ_Qs_Lot_1[[#This Row],[Type]]="Details", INDEX(TBL_008_Qs_Lot_1[Weighting], MATCH(1, (TBL_SQ_Qs_Lot_1[[#This Row],[Q. No.]]=TBL_008_Qs_Lot_1[Q.])*("Question"=TBL_008_Qs_Lot_1[Type]),0)), "")</f>
        <v/>
      </c>
      <c r="L95" s="296" t="str">
        <f>IF($H$4="No", "Shade", IF(OR(TBL_SQ_Qs_Lot_1[[#This Row],[Question]]="Not used
", AND(TBL_SQ_Qs_Lot_1[[#This Row],[Type]]="Details", TBL_SQ_Qs_Lot_1[[#This Row],[Subs]]=0)), "Shade", ""))</f>
        <v>Shade</v>
      </c>
    </row>
    <row r="96" spans="1:12" ht="25" hidden="1" customHeight="1">
      <c r="A96" s="232" t="s">
        <v>429</v>
      </c>
      <c r="B96" s="86" t="str">
        <f t="array" ref="B9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6" s="235"/>
      <c r="D96" s="297" t="str">
        <f>IF(TBL_SQ_Qs_Lot_1[[#This Row],[Type]]="Question", IF(OR(TBL_SQ_Qs_Lot_1[[#This Row],[Shade?]]="Shade", TBL_SQ_Qs_Lot_1[[#This Row],[Question]]="Question not used
"), "", IF(TBL_SQ_Qs_Lot_1[[#This Row],[Response]]&lt;&gt;"", "Done", "Add")), "")</f>
        <v/>
      </c>
      <c r="E96" s="407" t="s">
        <v>779</v>
      </c>
      <c r="F96" s="296" t="str">
        <f t="array" ref="F96">IF(TBL_SQ_Qs_Lot_1[[#This Row],[Type]]="Details", INDEX(TBL_008_Qs_Lot_1[Word limit], MATCH(1, (TBL_SQ_Qs_Lot_1[[#This Row],[Q. No.]]=TBL_008_Qs_Lot_1[Q.])*("Question"=TBL_008_Qs_Lot_1[Type]),0)), "")</f>
        <v/>
      </c>
      <c r="G96" s="296" t="str">
        <f t="array" ref="G96">IF(TBL_SQ_Qs_Lot_1[[#This Row],[Type]]="Details", INDEX(TBL_008_Qs_Lot_1[Max score], MATCH(1, (TBL_SQ_Qs_Lot_1[[#This Row],[Q. No.]]=TBL_008_Qs_Lot_1[Q.])*("Question"=TBL_008_Qs_Lot_1[Type]),0)), "")</f>
        <v/>
      </c>
      <c r="H96" s="296" t="str">
        <f t="array" ref="H96">IF(TBL_SQ_Qs_Lot_1[[#This Row],[Type]]="Details", INDEX(TBL_008_Qs_Lot_1[No.subs], MATCH(1, (TBL_SQ_Qs_Lot_1[[#This Row],[Q. No.]]=TBL_008_Qs_Lot_1[Q.])*("Question"=TBL_008_Qs_Lot_1[Type]),0)), "")</f>
        <v/>
      </c>
      <c r="I96" s="296" t="str">
        <f t="array" ref="I96">IF(TBL_SQ_Qs_Lot_1[[#This Row],[Type]]="Details", IF(INDEX(TBL_008_Qs_Lot_1[App_pages], MATCH(1, (TBL_SQ_Qs_Lot_1[[#This Row],[Q. No.]]=TBL_008_Qs_Lot_1[Q.])*("Question"=TBL_008_Qs_Lot_1[Type]),0))&lt;&gt;"", INDEX(TBL_008_Qs_Lot_1[App_pages], MATCH(1, (TBL_SQ_Qs_Lot_1[[#This Row],[Q. No.]]=TBL_008_Qs_Lot_1[Q.])*("Question"=TBL_008_Qs_Lot_1[Type]),0)), ""), "")</f>
        <v/>
      </c>
      <c r="J96" s="296" t="str">
        <f t="array" ref="J96">IF(TBL_SQ_Qs_Lot_1[[#This Row],[Type]]="Details", IF(INDEX(TBL_008_Qs_Lot_1[App_sub-qs], MATCH(1, (TBL_SQ_Qs_Lot_1[[#This Row],[Q. No.]]=TBL_008_Qs_Lot_1[Q.])*("Question"=TBL_008_Qs_Lot_1[Type]),0))&lt;&gt;"", INDEX(TBL_008_Qs_Lot_1[App_sub-qs], MATCH(1, (TBL_SQ_Qs_Lot_1[[#This Row],[Q. No.]]=TBL_008_Qs_Lot_1[Q.])*("Question"=TBL_008_Qs_Lot_1[Type]),0)), ""), "")</f>
        <v/>
      </c>
      <c r="K96" s="296" t="str">
        <f t="array" ref="K96">IF(TBL_SQ_Qs_Lot_1[[#This Row],[Type]]="Details", INDEX(TBL_008_Qs_Lot_1[Weighting], MATCH(1, (TBL_SQ_Qs_Lot_1[[#This Row],[Q. No.]]=TBL_008_Qs_Lot_1[Q.])*("Question"=TBL_008_Qs_Lot_1[Type]),0)), "")</f>
        <v/>
      </c>
      <c r="L96" s="296" t="str">
        <f>IF($H$4="No", "Shade", IF(OR(TBL_SQ_Qs_Lot_1[[#This Row],[Question]]="Not used
", AND(TBL_SQ_Qs_Lot_1[[#This Row],[Type]]="Details", TBL_SQ_Qs_Lot_1[[#This Row],[Subs]]=0)), "Shade", ""))</f>
        <v>Shade</v>
      </c>
    </row>
    <row r="97" spans="1:12" ht="25" hidden="1" customHeight="1">
      <c r="A97" s="237" t="s">
        <v>430</v>
      </c>
      <c r="B97" s="219" t="str">
        <f t="array" ref="B9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7" s="297"/>
      <c r="D97" s="297" t="str">
        <f>IF(TBL_SQ_Qs_Lot_1[[#This Row],[Type]]="Question", IF(OR(TBL_SQ_Qs_Lot_1[[#This Row],[Shade?]]="Shade", TBL_SQ_Qs_Lot_1[[#This Row],[Question]]="Question not used
"), "", IF(TBL_SQ_Qs_Lot_1[[#This Row],[Response]]&lt;&gt;"", "Done", "Add")), "")</f>
        <v/>
      </c>
      <c r="E97" s="407" t="s">
        <v>209</v>
      </c>
      <c r="F97" s="296" t="str">
        <f t="array" ref="F97">IF(TBL_SQ_Qs_Lot_1[[#This Row],[Type]]="Details", INDEX(TBL_008_Qs_Lot_1[Word limit], MATCH(1, (TBL_SQ_Qs_Lot_1[[#This Row],[Q. No.]]=TBL_008_Qs_Lot_1[Q.])*("Question"=TBL_008_Qs_Lot_1[Type]),0)), "")</f>
        <v/>
      </c>
      <c r="G97" s="296" t="str">
        <f t="array" ref="G97">IF(TBL_SQ_Qs_Lot_1[[#This Row],[Type]]="Details", INDEX(TBL_008_Qs_Lot_1[Max score], MATCH(1, (TBL_SQ_Qs_Lot_1[[#This Row],[Q. No.]]=TBL_008_Qs_Lot_1[Q.])*("Question"=TBL_008_Qs_Lot_1[Type]),0)), "")</f>
        <v/>
      </c>
      <c r="H97" s="296" t="str">
        <f t="array" ref="H97">IF(TBL_SQ_Qs_Lot_1[[#This Row],[Type]]="Details", INDEX(TBL_008_Qs_Lot_1[No.subs], MATCH(1, (TBL_SQ_Qs_Lot_1[[#This Row],[Q. No.]]=TBL_008_Qs_Lot_1[Q.])*("Question"=TBL_008_Qs_Lot_1[Type]),0)), "")</f>
        <v/>
      </c>
      <c r="I97" s="296" t="str">
        <f t="array" ref="I97">IF(TBL_SQ_Qs_Lot_1[[#This Row],[Type]]="Details", IF(INDEX(TBL_008_Qs_Lot_1[App_pages], MATCH(1, (TBL_SQ_Qs_Lot_1[[#This Row],[Q. No.]]=TBL_008_Qs_Lot_1[Q.])*("Question"=TBL_008_Qs_Lot_1[Type]),0))&lt;&gt;"", INDEX(TBL_008_Qs_Lot_1[App_pages], MATCH(1, (TBL_SQ_Qs_Lot_1[[#This Row],[Q. No.]]=TBL_008_Qs_Lot_1[Q.])*("Question"=TBL_008_Qs_Lot_1[Type]),0)), ""), "")</f>
        <v/>
      </c>
      <c r="J97" s="296" t="str">
        <f t="array" ref="J97">IF(TBL_SQ_Qs_Lot_1[[#This Row],[Type]]="Details", IF(INDEX(TBL_008_Qs_Lot_1[App_sub-qs], MATCH(1, (TBL_SQ_Qs_Lot_1[[#This Row],[Q. No.]]=TBL_008_Qs_Lot_1[Q.])*("Question"=TBL_008_Qs_Lot_1[Type]),0))&lt;&gt;"", INDEX(TBL_008_Qs_Lot_1[App_sub-qs], MATCH(1, (TBL_SQ_Qs_Lot_1[[#This Row],[Q. No.]]=TBL_008_Qs_Lot_1[Q.])*("Question"=TBL_008_Qs_Lot_1[Type]),0)), ""), "")</f>
        <v/>
      </c>
      <c r="K97" s="296" t="str">
        <f t="array" ref="K97">IF(TBL_SQ_Qs_Lot_1[[#This Row],[Type]]="Details", INDEX(TBL_008_Qs_Lot_1[Weighting], MATCH(1, (TBL_SQ_Qs_Lot_1[[#This Row],[Q. No.]]=TBL_008_Qs_Lot_1[Q.])*("Question"=TBL_008_Qs_Lot_1[Type]),0)), "")</f>
        <v/>
      </c>
      <c r="L97" s="296" t="str">
        <f>IF($H$4="No", "Shade", IF(OR(TBL_SQ_Qs_Lot_1[[#This Row],[Question]]="Not used
", AND(TBL_SQ_Qs_Lot_1[[#This Row],[Type]]="Details", TBL_SQ_Qs_Lot_1[[#This Row],[Subs]]=0)), "Shade", ""))</f>
        <v>Shade</v>
      </c>
    </row>
    <row r="98" spans="1:12" ht="25" hidden="1" customHeight="1">
      <c r="A98" s="238" t="s">
        <v>430</v>
      </c>
      <c r="B98" s="220" t="str">
        <f t="array" ref="B9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Q6.7 should have a word count of not more than 0 words.
The maximum score for this question is 0.00 marks (0.00 elements x 5.00 marks)
</v>
      </c>
      <c r="C98" s="233"/>
      <c r="D98" s="297" t="str">
        <f>IF(TBL_SQ_Qs_Lot_1[[#This Row],[Type]]="Question", IF(OR(TBL_SQ_Qs_Lot_1[[#This Row],[Shade?]]="Shade", TBL_SQ_Qs_Lot_1[[#This Row],[Question]]="Question not used
"), "", IF(TBL_SQ_Qs_Lot_1[[#This Row],[Response]]&lt;&gt;"", "Done", "Add")), "")</f>
        <v/>
      </c>
      <c r="E98" s="407" t="s">
        <v>798</v>
      </c>
      <c r="F98" s="296">
        <f t="array" ref="F98">IF(TBL_SQ_Qs_Lot_1[[#This Row],[Type]]="Details", INDEX(TBL_008_Qs_Lot_1[Word limit], MATCH(1, (TBL_SQ_Qs_Lot_1[[#This Row],[Q. No.]]=TBL_008_Qs_Lot_1[Q.])*("Question"=TBL_008_Qs_Lot_1[Type]),0)), "")</f>
        <v>0</v>
      </c>
      <c r="G98" s="296">
        <f t="array" ref="G98">IF(TBL_SQ_Qs_Lot_1[[#This Row],[Type]]="Details", INDEX(TBL_008_Qs_Lot_1[Max score], MATCH(1, (TBL_SQ_Qs_Lot_1[[#This Row],[Q. No.]]=TBL_008_Qs_Lot_1[Q.])*("Question"=TBL_008_Qs_Lot_1[Type]),0)), "")</f>
        <v>0</v>
      </c>
      <c r="H98" s="296">
        <f t="array" ref="H98">IF(TBL_SQ_Qs_Lot_1[[#This Row],[Type]]="Details", INDEX(TBL_008_Qs_Lot_1[No.subs], MATCH(1, (TBL_SQ_Qs_Lot_1[[#This Row],[Q. No.]]=TBL_008_Qs_Lot_1[Q.])*("Question"=TBL_008_Qs_Lot_1[Type]),0)), "")</f>
        <v>0</v>
      </c>
      <c r="I98" s="296" t="str">
        <f t="array" ref="I98">IF(TBL_SQ_Qs_Lot_1[[#This Row],[Type]]="Details", IF(INDEX(TBL_008_Qs_Lot_1[App_pages], MATCH(1, (TBL_SQ_Qs_Lot_1[[#This Row],[Q. No.]]=TBL_008_Qs_Lot_1[Q.])*("Question"=TBL_008_Qs_Lot_1[Type]),0))&lt;&gt;"", INDEX(TBL_008_Qs_Lot_1[App_pages], MATCH(1, (TBL_SQ_Qs_Lot_1[[#This Row],[Q. No.]]=TBL_008_Qs_Lot_1[Q.])*("Question"=TBL_008_Qs_Lot_1[Type]),0)), ""), "")</f>
        <v/>
      </c>
      <c r="J98" s="296" t="str">
        <f t="array" ref="J98">IF(TBL_SQ_Qs_Lot_1[[#This Row],[Type]]="Details", IF(INDEX(TBL_008_Qs_Lot_1[App_sub-qs], MATCH(1, (TBL_SQ_Qs_Lot_1[[#This Row],[Q. No.]]=TBL_008_Qs_Lot_1[Q.])*("Question"=TBL_008_Qs_Lot_1[Type]),0))&lt;&gt;"", INDEX(TBL_008_Qs_Lot_1[App_sub-qs], MATCH(1, (TBL_SQ_Qs_Lot_1[[#This Row],[Q. No.]]=TBL_008_Qs_Lot_1[Q.])*("Question"=TBL_008_Qs_Lot_1[Type]),0)), ""), "")</f>
        <v/>
      </c>
      <c r="K98" s="296" t="str">
        <f t="array" ref="K98">IF(TBL_SQ_Qs_Lot_1[[#This Row],[Type]]="Details", INDEX(TBL_008_Qs_Lot_1[Weighting], MATCH(1, (TBL_SQ_Qs_Lot_1[[#This Row],[Q. No.]]=TBL_008_Qs_Lot_1[Q.])*("Question"=TBL_008_Qs_Lot_1[Type]),0)), "")</f>
        <v>N/A</v>
      </c>
      <c r="L98" s="296" t="str">
        <f>IF($H$4="No", "Shade", IF(OR(TBL_SQ_Qs_Lot_1[[#This Row],[Question]]="Not used
", AND(TBL_SQ_Qs_Lot_1[[#This Row],[Type]]="Details", TBL_SQ_Qs_Lot_1[[#This Row],[Subs]]=0)), "Shade", ""))</f>
        <v>Shade</v>
      </c>
    </row>
    <row r="99" spans="1:12" ht="25" hidden="1" customHeight="1">
      <c r="A99" s="239" t="s">
        <v>431</v>
      </c>
      <c r="B99" s="84" t="str">
        <f t="array" ref="B9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99" s="234"/>
      <c r="D99" s="297" t="str">
        <f>IF(TBL_SQ_Qs_Lot_1[[#This Row],[Type]]="Question", IF(OR(TBL_SQ_Qs_Lot_1[[#This Row],[Shade?]]="Shade", TBL_SQ_Qs_Lot_1[[#This Row],[Question]]="Question not used
"), "", IF(TBL_SQ_Qs_Lot_1[[#This Row],[Response]]&lt;&gt;"", "Done", "Add")), "")</f>
        <v/>
      </c>
      <c r="E99" s="407" t="s">
        <v>779</v>
      </c>
      <c r="F99" s="296" t="str">
        <f t="array" ref="F99">IF(TBL_SQ_Qs_Lot_1[[#This Row],[Type]]="Details", INDEX(TBL_008_Qs_Lot_1[Word limit], MATCH(1, (TBL_SQ_Qs_Lot_1[[#This Row],[Q. No.]]=TBL_008_Qs_Lot_1[Q.])*("Question"=TBL_008_Qs_Lot_1[Type]),0)), "")</f>
        <v/>
      </c>
      <c r="G99" s="296" t="str">
        <f t="array" ref="G99">IF(TBL_SQ_Qs_Lot_1[[#This Row],[Type]]="Details", INDEX(TBL_008_Qs_Lot_1[Max score], MATCH(1, (TBL_SQ_Qs_Lot_1[[#This Row],[Q. No.]]=TBL_008_Qs_Lot_1[Q.])*("Question"=TBL_008_Qs_Lot_1[Type]),0)), "")</f>
        <v/>
      </c>
      <c r="H99" s="296" t="str">
        <f t="array" ref="H99">IF(TBL_SQ_Qs_Lot_1[[#This Row],[Type]]="Details", INDEX(TBL_008_Qs_Lot_1[No.subs], MATCH(1, (TBL_SQ_Qs_Lot_1[[#This Row],[Q. No.]]=TBL_008_Qs_Lot_1[Q.])*("Question"=TBL_008_Qs_Lot_1[Type]),0)), "")</f>
        <v/>
      </c>
      <c r="I99" s="296" t="str">
        <f t="array" ref="I99">IF(TBL_SQ_Qs_Lot_1[[#This Row],[Type]]="Details", IF(INDEX(TBL_008_Qs_Lot_1[App_pages], MATCH(1, (TBL_SQ_Qs_Lot_1[[#This Row],[Q. No.]]=TBL_008_Qs_Lot_1[Q.])*("Question"=TBL_008_Qs_Lot_1[Type]),0))&lt;&gt;"", INDEX(TBL_008_Qs_Lot_1[App_pages], MATCH(1, (TBL_SQ_Qs_Lot_1[[#This Row],[Q. No.]]=TBL_008_Qs_Lot_1[Q.])*("Question"=TBL_008_Qs_Lot_1[Type]),0)), ""), "")</f>
        <v/>
      </c>
      <c r="J99" s="296" t="str">
        <f t="array" ref="J99">IF(TBL_SQ_Qs_Lot_1[[#This Row],[Type]]="Details", IF(INDEX(TBL_008_Qs_Lot_1[App_sub-qs], MATCH(1, (TBL_SQ_Qs_Lot_1[[#This Row],[Q. No.]]=TBL_008_Qs_Lot_1[Q.])*("Question"=TBL_008_Qs_Lot_1[Type]),0))&lt;&gt;"", INDEX(TBL_008_Qs_Lot_1[App_sub-qs], MATCH(1, (TBL_SQ_Qs_Lot_1[[#This Row],[Q. No.]]=TBL_008_Qs_Lot_1[Q.])*("Question"=TBL_008_Qs_Lot_1[Type]),0)), ""), "")</f>
        <v/>
      </c>
      <c r="K99" s="296" t="str">
        <f t="array" ref="K99">IF(TBL_SQ_Qs_Lot_1[[#This Row],[Type]]="Details", INDEX(TBL_008_Qs_Lot_1[Weighting], MATCH(1, (TBL_SQ_Qs_Lot_1[[#This Row],[Q. No.]]=TBL_008_Qs_Lot_1[Q.])*("Question"=TBL_008_Qs_Lot_1[Type]),0)), "")</f>
        <v/>
      </c>
      <c r="L99" s="296" t="str">
        <f>IF($H$4="No", "Shade", IF(OR(TBL_SQ_Qs_Lot_1[[#This Row],[Question]]="Not used
", AND(TBL_SQ_Qs_Lot_1[[#This Row],[Type]]="Details", TBL_SQ_Qs_Lot_1[[#This Row],[Subs]]=0)), "Shade", ""))</f>
        <v>Shade</v>
      </c>
    </row>
    <row r="100" spans="1:12" ht="25" hidden="1" customHeight="1">
      <c r="A100" s="239" t="s">
        <v>432</v>
      </c>
      <c r="B100" s="84" t="str">
        <f t="array" ref="B10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0" s="234"/>
      <c r="D100" s="297" t="str">
        <f>IF(TBL_SQ_Qs_Lot_1[[#This Row],[Type]]="Question", IF(OR(TBL_SQ_Qs_Lot_1[[#This Row],[Shade?]]="Shade", TBL_SQ_Qs_Lot_1[[#This Row],[Question]]="Question not used
"), "", IF(TBL_SQ_Qs_Lot_1[[#This Row],[Response]]&lt;&gt;"", "Done", "Add")), "")</f>
        <v/>
      </c>
      <c r="E100" s="407" t="s">
        <v>779</v>
      </c>
      <c r="F100" s="296" t="str">
        <f t="array" ref="F100">IF(TBL_SQ_Qs_Lot_1[[#This Row],[Type]]="Details", INDEX(TBL_008_Qs_Lot_1[Word limit], MATCH(1, (TBL_SQ_Qs_Lot_1[[#This Row],[Q. No.]]=TBL_008_Qs_Lot_1[Q.])*("Question"=TBL_008_Qs_Lot_1[Type]),0)), "")</f>
        <v/>
      </c>
      <c r="G100" s="296" t="str">
        <f t="array" ref="G100">IF(TBL_SQ_Qs_Lot_1[[#This Row],[Type]]="Details", INDEX(TBL_008_Qs_Lot_1[Max score], MATCH(1, (TBL_SQ_Qs_Lot_1[[#This Row],[Q. No.]]=TBL_008_Qs_Lot_1[Q.])*("Question"=TBL_008_Qs_Lot_1[Type]),0)), "")</f>
        <v/>
      </c>
      <c r="H100" s="296" t="str">
        <f t="array" ref="H100">IF(TBL_SQ_Qs_Lot_1[[#This Row],[Type]]="Details", INDEX(TBL_008_Qs_Lot_1[No.subs], MATCH(1, (TBL_SQ_Qs_Lot_1[[#This Row],[Q. No.]]=TBL_008_Qs_Lot_1[Q.])*("Question"=TBL_008_Qs_Lot_1[Type]),0)), "")</f>
        <v/>
      </c>
      <c r="I100" s="296" t="str">
        <f t="array" ref="I10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0" s="296" t="str">
        <f t="array" ref="J10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0" s="296" t="str">
        <f t="array" ref="K100">IF(TBL_SQ_Qs_Lot_1[[#This Row],[Type]]="Details", INDEX(TBL_008_Qs_Lot_1[Weighting], MATCH(1, (TBL_SQ_Qs_Lot_1[[#This Row],[Q. No.]]=TBL_008_Qs_Lot_1[Q.])*("Question"=TBL_008_Qs_Lot_1[Type]),0)), "")</f>
        <v/>
      </c>
      <c r="L100" s="296" t="str">
        <f>IF($H$4="No", "Shade", IF(OR(TBL_SQ_Qs_Lot_1[[#This Row],[Question]]="Not used
", AND(TBL_SQ_Qs_Lot_1[[#This Row],[Type]]="Details", TBL_SQ_Qs_Lot_1[[#This Row],[Subs]]=0)), "Shade", ""))</f>
        <v>Shade</v>
      </c>
    </row>
    <row r="101" spans="1:12" ht="25" hidden="1" customHeight="1">
      <c r="A101" s="239" t="s">
        <v>433</v>
      </c>
      <c r="B101" s="84" t="str">
        <f t="array" ref="B10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1" s="234"/>
      <c r="D101" s="297" t="str">
        <f>IF(TBL_SQ_Qs_Lot_1[[#This Row],[Type]]="Question", IF(OR(TBL_SQ_Qs_Lot_1[[#This Row],[Shade?]]="Shade", TBL_SQ_Qs_Lot_1[[#This Row],[Question]]="Question not used
"), "", IF(TBL_SQ_Qs_Lot_1[[#This Row],[Response]]&lt;&gt;"", "Done", "Add")), "")</f>
        <v/>
      </c>
      <c r="E101" s="407" t="s">
        <v>779</v>
      </c>
      <c r="F101" s="296" t="str">
        <f t="array" ref="F101">IF(TBL_SQ_Qs_Lot_1[[#This Row],[Type]]="Details", INDEX(TBL_008_Qs_Lot_1[Word limit], MATCH(1, (TBL_SQ_Qs_Lot_1[[#This Row],[Q. No.]]=TBL_008_Qs_Lot_1[Q.])*("Question"=TBL_008_Qs_Lot_1[Type]),0)), "")</f>
        <v/>
      </c>
      <c r="G101" s="296" t="str">
        <f t="array" ref="G101">IF(TBL_SQ_Qs_Lot_1[[#This Row],[Type]]="Details", INDEX(TBL_008_Qs_Lot_1[Max score], MATCH(1, (TBL_SQ_Qs_Lot_1[[#This Row],[Q. No.]]=TBL_008_Qs_Lot_1[Q.])*("Question"=TBL_008_Qs_Lot_1[Type]),0)), "")</f>
        <v/>
      </c>
      <c r="H101" s="296" t="str">
        <f t="array" ref="H101">IF(TBL_SQ_Qs_Lot_1[[#This Row],[Type]]="Details", INDEX(TBL_008_Qs_Lot_1[No.subs], MATCH(1, (TBL_SQ_Qs_Lot_1[[#This Row],[Q. No.]]=TBL_008_Qs_Lot_1[Q.])*("Question"=TBL_008_Qs_Lot_1[Type]),0)), "")</f>
        <v/>
      </c>
      <c r="I101" s="296" t="str">
        <f t="array" ref="I10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1" s="296" t="str">
        <f t="array" ref="J10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1" s="296" t="str">
        <f t="array" ref="K101">IF(TBL_SQ_Qs_Lot_1[[#This Row],[Type]]="Details", INDEX(TBL_008_Qs_Lot_1[Weighting], MATCH(1, (TBL_SQ_Qs_Lot_1[[#This Row],[Q. No.]]=TBL_008_Qs_Lot_1[Q.])*("Question"=TBL_008_Qs_Lot_1[Type]),0)), "")</f>
        <v/>
      </c>
      <c r="L101" s="296" t="str">
        <f>IF($H$4="No", "Shade", IF(OR(TBL_SQ_Qs_Lot_1[[#This Row],[Question]]="Not used
", AND(TBL_SQ_Qs_Lot_1[[#This Row],[Type]]="Details", TBL_SQ_Qs_Lot_1[[#This Row],[Subs]]=0)), "Shade", ""))</f>
        <v>Shade</v>
      </c>
    </row>
    <row r="102" spans="1:12" ht="25" hidden="1" customHeight="1">
      <c r="A102" s="239" t="s">
        <v>434</v>
      </c>
      <c r="B102" s="84" t="str">
        <f t="array" ref="B10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2" s="234"/>
      <c r="D102" s="297" t="str">
        <f>IF(TBL_SQ_Qs_Lot_1[[#This Row],[Type]]="Question", IF(OR(TBL_SQ_Qs_Lot_1[[#This Row],[Shade?]]="Shade", TBL_SQ_Qs_Lot_1[[#This Row],[Question]]="Question not used
"), "", IF(TBL_SQ_Qs_Lot_1[[#This Row],[Response]]&lt;&gt;"", "Done", "Add")), "")</f>
        <v/>
      </c>
      <c r="E102" s="407" t="s">
        <v>779</v>
      </c>
      <c r="F102" s="296" t="str">
        <f t="array" ref="F102">IF(TBL_SQ_Qs_Lot_1[[#This Row],[Type]]="Details", INDEX(TBL_008_Qs_Lot_1[Word limit], MATCH(1, (TBL_SQ_Qs_Lot_1[[#This Row],[Q. No.]]=TBL_008_Qs_Lot_1[Q.])*("Question"=TBL_008_Qs_Lot_1[Type]),0)), "")</f>
        <v/>
      </c>
      <c r="G102" s="296" t="str">
        <f t="array" ref="G102">IF(TBL_SQ_Qs_Lot_1[[#This Row],[Type]]="Details", INDEX(TBL_008_Qs_Lot_1[Max score], MATCH(1, (TBL_SQ_Qs_Lot_1[[#This Row],[Q. No.]]=TBL_008_Qs_Lot_1[Q.])*("Question"=TBL_008_Qs_Lot_1[Type]),0)), "")</f>
        <v/>
      </c>
      <c r="H102" s="296" t="str">
        <f t="array" ref="H102">IF(TBL_SQ_Qs_Lot_1[[#This Row],[Type]]="Details", INDEX(TBL_008_Qs_Lot_1[No.subs], MATCH(1, (TBL_SQ_Qs_Lot_1[[#This Row],[Q. No.]]=TBL_008_Qs_Lot_1[Q.])*("Question"=TBL_008_Qs_Lot_1[Type]),0)), "")</f>
        <v/>
      </c>
      <c r="I102" s="296" t="str">
        <f t="array" ref="I10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2" s="296" t="str">
        <f t="array" ref="J10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2" s="296" t="str">
        <f t="array" ref="K102">IF(TBL_SQ_Qs_Lot_1[[#This Row],[Type]]="Details", INDEX(TBL_008_Qs_Lot_1[Weighting], MATCH(1, (TBL_SQ_Qs_Lot_1[[#This Row],[Q. No.]]=TBL_008_Qs_Lot_1[Q.])*("Question"=TBL_008_Qs_Lot_1[Type]),0)), "")</f>
        <v/>
      </c>
      <c r="L102" s="296" t="str">
        <f>IF($H$4="No", "Shade", IF(OR(TBL_SQ_Qs_Lot_1[[#This Row],[Question]]="Not used
", AND(TBL_SQ_Qs_Lot_1[[#This Row],[Type]]="Details", TBL_SQ_Qs_Lot_1[[#This Row],[Subs]]=0)), "Shade", ""))</f>
        <v>Shade</v>
      </c>
    </row>
    <row r="103" spans="1:12" ht="25" hidden="1" customHeight="1">
      <c r="A103" s="239" t="s">
        <v>435</v>
      </c>
      <c r="B103" s="84" t="str">
        <f t="array" ref="B10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3" s="234"/>
      <c r="D103" s="297" t="str">
        <f>IF(TBL_SQ_Qs_Lot_1[[#This Row],[Type]]="Question", IF(OR(TBL_SQ_Qs_Lot_1[[#This Row],[Shade?]]="Shade", TBL_SQ_Qs_Lot_1[[#This Row],[Question]]="Question not used
"), "", IF(TBL_SQ_Qs_Lot_1[[#This Row],[Response]]&lt;&gt;"", "Done", "Add")), "")</f>
        <v/>
      </c>
      <c r="E103" s="407" t="s">
        <v>779</v>
      </c>
      <c r="F103" s="296" t="str">
        <f t="array" ref="F103">IF(TBL_SQ_Qs_Lot_1[[#This Row],[Type]]="Details", INDEX(TBL_008_Qs_Lot_1[Word limit], MATCH(1, (TBL_SQ_Qs_Lot_1[[#This Row],[Q. No.]]=TBL_008_Qs_Lot_1[Q.])*("Question"=TBL_008_Qs_Lot_1[Type]),0)), "")</f>
        <v/>
      </c>
      <c r="G103" s="296" t="str">
        <f t="array" ref="G103">IF(TBL_SQ_Qs_Lot_1[[#This Row],[Type]]="Details", INDEX(TBL_008_Qs_Lot_1[Max score], MATCH(1, (TBL_SQ_Qs_Lot_1[[#This Row],[Q. No.]]=TBL_008_Qs_Lot_1[Q.])*("Question"=TBL_008_Qs_Lot_1[Type]),0)), "")</f>
        <v/>
      </c>
      <c r="H103" s="296" t="str">
        <f t="array" ref="H103">IF(TBL_SQ_Qs_Lot_1[[#This Row],[Type]]="Details", INDEX(TBL_008_Qs_Lot_1[No.subs], MATCH(1, (TBL_SQ_Qs_Lot_1[[#This Row],[Q. No.]]=TBL_008_Qs_Lot_1[Q.])*("Question"=TBL_008_Qs_Lot_1[Type]),0)), "")</f>
        <v/>
      </c>
      <c r="I103" s="296" t="str">
        <f t="array" ref="I10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3" s="296" t="str">
        <f t="array" ref="J10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3" s="296" t="str">
        <f t="array" ref="K103">IF(TBL_SQ_Qs_Lot_1[[#This Row],[Type]]="Details", INDEX(TBL_008_Qs_Lot_1[Weighting], MATCH(1, (TBL_SQ_Qs_Lot_1[[#This Row],[Q. No.]]=TBL_008_Qs_Lot_1[Q.])*("Question"=TBL_008_Qs_Lot_1[Type]),0)), "")</f>
        <v/>
      </c>
      <c r="L103" s="296" t="str">
        <f>IF($H$4="No", "Shade", IF(OR(TBL_SQ_Qs_Lot_1[[#This Row],[Question]]="Not used
", AND(TBL_SQ_Qs_Lot_1[[#This Row],[Type]]="Details", TBL_SQ_Qs_Lot_1[[#This Row],[Subs]]=0)), "Shade", ""))</f>
        <v>Shade</v>
      </c>
    </row>
    <row r="104" spans="1:12" ht="25" hidden="1" customHeight="1">
      <c r="A104" s="239" t="s">
        <v>436</v>
      </c>
      <c r="B104" s="84" t="str">
        <f t="array" ref="B10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4" s="234"/>
      <c r="D104" s="297" t="str">
        <f>IF(TBL_SQ_Qs_Lot_1[[#This Row],[Type]]="Question", IF(OR(TBL_SQ_Qs_Lot_1[[#This Row],[Shade?]]="Shade", TBL_SQ_Qs_Lot_1[[#This Row],[Question]]="Question not used
"), "", IF(TBL_SQ_Qs_Lot_1[[#This Row],[Response]]&lt;&gt;"", "Done", "Add")), "")</f>
        <v/>
      </c>
      <c r="E104" s="407" t="s">
        <v>779</v>
      </c>
      <c r="F104" s="296" t="str">
        <f t="array" ref="F104">IF(TBL_SQ_Qs_Lot_1[[#This Row],[Type]]="Details", INDEX(TBL_008_Qs_Lot_1[Word limit], MATCH(1, (TBL_SQ_Qs_Lot_1[[#This Row],[Q. No.]]=TBL_008_Qs_Lot_1[Q.])*("Question"=TBL_008_Qs_Lot_1[Type]),0)), "")</f>
        <v/>
      </c>
      <c r="G104" s="296" t="str">
        <f t="array" ref="G104">IF(TBL_SQ_Qs_Lot_1[[#This Row],[Type]]="Details", INDEX(TBL_008_Qs_Lot_1[Max score], MATCH(1, (TBL_SQ_Qs_Lot_1[[#This Row],[Q. No.]]=TBL_008_Qs_Lot_1[Q.])*("Question"=TBL_008_Qs_Lot_1[Type]),0)), "")</f>
        <v/>
      </c>
      <c r="H104" s="296" t="str">
        <f t="array" ref="H104">IF(TBL_SQ_Qs_Lot_1[[#This Row],[Type]]="Details", INDEX(TBL_008_Qs_Lot_1[No.subs], MATCH(1, (TBL_SQ_Qs_Lot_1[[#This Row],[Q. No.]]=TBL_008_Qs_Lot_1[Q.])*("Question"=TBL_008_Qs_Lot_1[Type]),0)), "")</f>
        <v/>
      </c>
      <c r="I104" s="296" t="str">
        <f t="array" ref="I10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4" s="296" t="str">
        <f t="array" ref="J10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4" s="296" t="str">
        <f t="array" ref="K104">IF(TBL_SQ_Qs_Lot_1[[#This Row],[Type]]="Details", INDEX(TBL_008_Qs_Lot_1[Weighting], MATCH(1, (TBL_SQ_Qs_Lot_1[[#This Row],[Q. No.]]=TBL_008_Qs_Lot_1[Q.])*("Question"=TBL_008_Qs_Lot_1[Type]),0)), "")</f>
        <v/>
      </c>
      <c r="L104" s="296" t="str">
        <f>IF($H$4="No", "Shade", IF(OR(TBL_SQ_Qs_Lot_1[[#This Row],[Question]]="Not used
", AND(TBL_SQ_Qs_Lot_1[[#This Row],[Type]]="Details", TBL_SQ_Qs_Lot_1[[#This Row],[Subs]]=0)), "Shade", ""))</f>
        <v>Shade</v>
      </c>
    </row>
    <row r="105" spans="1:12" ht="25" hidden="1" customHeight="1">
      <c r="A105" s="239" t="s">
        <v>437</v>
      </c>
      <c r="B105" s="84" t="str">
        <f t="array" ref="B10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5" s="234"/>
      <c r="D105" s="297" t="str">
        <f>IF(TBL_SQ_Qs_Lot_1[[#This Row],[Type]]="Question", IF(OR(TBL_SQ_Qs_Lot_1[[#This Row],[Shade?]]="Shade", TBL_SQ_Qs_Lot_1[[#This Row],[Question]]="Question not used
"), "", IF(TBL_SQ_Qs_Lot_1[[#This Row],[Response]]&lt;&gt;"", "Done", "Add")), "")</f>
        <v/>
      </c>
      <c r="E105" s="407" t="s">
        <v>779</v>
      </c>
      <c r="F105" s="296" t="str">
        <f t="array" ref="F105">IF(TBL_SQ_Qs_Lot_1[[#This Row],[Type]]="Details", INDEX(TBL_008_Qs_Lot_1[Word limit], MATCH(1, (TBL_SQ_Qs_Lot_1[[#This Row],[Q. No.]]=TBL_008_Qs_Lot_1[Q.])*("Question"=TBL_008_Qs_Lot_1[Type]),0)), "")</f>
        <v/>
      </c>
      <c r="G105" s="296" t="str">
        <f t="array" ref="G105">IF(TBL_SQ_Qs_Lot_1[[#This Row],[Type]]="Details", INDEX(TBL_008_Qs_Lot_1[Max score], MATCH(1, (TBL_SQ_Qs_Lot_1[[#This Row],[Q. No.]]=TBL_008_Qs_Lot_1[Q.])*("Question"=TBL_008_Qs_Lot_1[Type]),0)), "")</f>
        <v/>
      </c>
      <c r="H105" s="296" t="str">
        <f t="array" ref="H105">IF(TBL_SQ_Qs_Lot_1[[#This Row],[Type]]="Details", INDEX(TBL_008_Qs_Lot_1[No.subs], MATCH(1, (TBL_SQ_Qs_Lot_1[[#This Row],[Q. No.]]=TBL_008_Qs_Lot_1[Q.])*("Question"=TBL_008_Qs_Lot_1[Type]),0)), "")</f>
        <v/>
      </c>
      <c r="I105" s="296" t="str">
        <f t="array" ref="I10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5" s="296" t="str">
        <f t="array" ref="J10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5" s="296" t="str">
        <f t="array" ref="K105">IF(TBL_SQ_Qs_Lot_1[[#This Row],[Type]]="Details", INDEX(TBL_008_Qs_Lot_1[Weighting], MATCH(1, (TBL_SQ_Qs_Lot_1[[#This Row],[Q. No.]]=TBL_008_Qs_Lot_1[Q.])*("Question"=TBL_008_Qs_Lot_1[Type]),0)), "")</f>
        <v/>
      </c>
      <c r="L105" s="296" t="str">
        <f>IF($H$4="No", "Shade", IF(OR(TBL_SQ_Qs_Lot_1[[#This Row],[Question]]="Not used
", AND(TBL_SQ_Qs_Lot_1[[#This Row],[Type]]="Details", TBL_SQ_Qs_Lot_1[[#This Row],[Subs]]=0)), "Shade", ""))</f>
        <v>Shade</v>
      </c>
    </row>
    <row r="106" spans="1:12" ht="25" hidden="1" customHeight="1">
      <c r="A106" s="239" t="s">
        <v>438</v>
      </c>
      <c r="B106" s="84" t="str">
        <f t="array" ref="B10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6" s="234"/>
      <c r="D106" s="297" t="str">
        <f>IF(TBL_SQ_Qs_Lot_1[[#This Row],[Type]]="Question", IF(OR(TBL_SQ_Qs_Lot_1[[#This Row],[Shade?]]="Shade", TBL_SQ_Qs_Lot_1[[#This Row],[Question]]="Question not used
"), "", IF(TBL_SQ_Qs_Lot_1[[#This Row],[Response]]&lt;&gt;"", "Done", "Add")), "")</f>
        <v/>
      </c>
      <c r="E106" s="407" t="s">
        <v>779</v>
      </c>
      <c r="F106" s="296" t="str">
        <f t="array" ref="F106">IF(TBL_SQ_Qs_Lot_1[[#This Row],[Type]]="Details", INDEX(TBL_008_Qs_Lot_1[Word limit], MATCH(1, (TBL_SQ_Qs_Lot_1[[#This Row],[Q. No.]]=TBL_008_Qs_Lot_1[Q.])*("Question"=TBL_008_Qs_Lot_1[Type]),0)), "")</f>
        <v/>
      </c>
      <c r="G106" s="296" t="str">
        <f t="array" ref="G106">IF(TBL_SQ_Qs_Lot_1[[#This Row],[Type]]="Details", INDEX(TBL_008_Qs_Lot_1[Max score], MATCH(1, (TBL_SQ_Qs_Lot_1[[#This Row],[Q. No.]]=TBL_008_Qs_Lot_1[Q.])*("Question"=TBL_008_Qs_Lot_1[Type]),0)), "")</f>
        <v/>
      </c>
      <c r="H106" s="296" t="str">
        <f t="array" ref="H106">IF(TBL_SQ_Qs_Lot_1[[#This Row],[Type]]="Details", INDEX(TBL_008_Qs_Lot_1[No.subs], MATCH(1, (TBL_SQ_Qs_Lot_1[[#This Row],[Q. No.]]=TBL_008_Qs_Lot_1[Q.])*("Question"=TBL_008_Qs_Lot_1[Type]),0)), "")</f>
        <v/>
      </c>
      <c r="I106" s="296" t="str">
        <f t="array" ref="I10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6" s="296" t="str">
        <f t="array" ref="J10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6" s="296" t="str">
        <f t="array" ref="K106">IF(TBL_SQ_Qs_Lot_1[[#This Row],[Type]]="Details", INDEX(TBL_008_Qs_Lot_1[Weighting], MATCH(1, (TBL_SQ_Qs_Lot_1[[#This Row],[Q. No.]]=TBL_008_Qs_Lot_1[Q.])*("Question"=TBL_008_Qs_Lot_1[Type]),0)), "")</f>
        <v/>
      </c>
      <c r="L106" s="296" t="str">
        <f>IF($H$4="No", "Shade", IF(OR(TBL_SQ_Qs_Lot_1[[#This Row],[Question]]="Not used
", AND(TBL_SQ_Qs_Lot_1[[#This Row],[Type]]="Details", TBL_SQ_Qs_Lot_1[[#This Row],[Subs]]=0)), "Shade", ""))</f>
        <v>Shade</v>
      </c>
    </row>
    <row r="107" spans="1:12" ht="25" hidden="1" customHeight="1">
      <c r="A107" s="239" t="s">
        <v>439</v>
      </c>
      <c r="B107" s="84" t="str">
        <f t="array" ref="B10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7" s="234"/>
      <c r="D107" s="297" t="str">
        <f>IF(TBL_SQ_Qs_Lot_1[[#This Row],[Type]]="Question", IF(OR(TBL_SQ_Qs_Lot_1[[#This Row],[Shade?]]="Shade", TBL_SQ_Qs_Lot_1[[#This Row],[Question]]="Question not used
"), "", IF(TBL_SQ_Qs_Lot_1[[#This Row],[Response]]&lt;&gt;"", "Done", "Add")), "")</f>
        <v/>
      </c>
      <c r="E107" s="407" t="s">
        <v>779</v>
      </c>
      <c r="F107" s="296" t="str">
        <f t="array" ref="F107">IF(TBL_SQ_Qs_Lot_1[[#This Row],[Type]]="Details", INDEX(TBL_008_Qs_Lot_1[Word limit], MATCH(1, (TBL_SQ_Qs_Lot_1[[#This Row],[Q. No.]]=TBL_008_Qs_Lot_1[Q.])*("Question"=TBL_008_Qs_Lot_1[Type]),0)), "")</f>
        <v/>
      </c>
      <c r="G107" s="296" t="str">
        <f t="array" ref="G107">IF(TBL_SQ_Qs_Lot_1[[#This Row],[Type]]="Details", INDEX(TBL_008_Qs_Lot_1[Max score], MATCH(1, (TBL_SQ_Qs_Lot_1[[#This Row],[Q. No.]]=TBL_008_Qs_Lot_1[Q.])*("Question"=TBL_008_Qs_Lot_1[Type]),0)), "")</f>
        <v/>
      </c>
      <c r="H107" s="296" t="str">
        <f t="array" ref="H107">IF(TBL_SQ_Qs_Lot_1[[#This Row],[Type]]="Details", INDEX(TBL_008_Qs_Lot_1[No.subs], MATCH(1, (TBL_SQ_Qs_Lot_1[[#This Row],[Q. No.]]=TBL_008_Qs_Lot_1[Q.])*("Question"=TBL_008_Qs_Lot_1[Type]),0)), "")</f>
        <v/>
      </c>
      <c r="I107" s="296" t="str">
        <f t="array" ref="I10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7" s="296" t="str">
        <f t="array" ref="J10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7" s="296" t="str">
        <f t="array" ref="K107">IF(TBL_SQ_Qs_Lot_1[[#This Row],[Type]]="Details", INDEX(TBL_008_Qs_Lot_1[Weighting], MATCH(1, (TBL_SQ_Qs_Lot_1[[#This Row],[Q. No.]]=TBL_008_Qs_Lot_1[Q.])*("Question"=TBL_008_Qs_Lot_1[Type]),0)), "")</f>
        <v/>
      </c>
      <c r="L107" s="296" t="str">
        <f>IF($H$4="No", "Shade", IF(OR(TBL_SQ_Qs_Lot_1[[#This Row],[Question]]="Not used
", AND(TBL_SQ_Qs_Lot_1[[#This Row],[Type]]="Details", TBL_SQ_Qs_Lot_1[[#This Row],[Subs]]=0)), "Shade", ""))</f>
        <v>Shade</v>
      </c>
    </row>
    <row r="108" spans="1:12" ht="25" hidden="1" customHeight="1">
      <c r="A108" s="232" t="s">
        <v>440</v>
      </c>
      <c r="B108" s="86" t="str">
        <f t="array" ref="B10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8" s="235"/>
      <c r="D108" s="297" t="str">
        <f>IF(TBL_SQ_Qs_Lot_1[[#This Row],[Type]]="Question", IF(OR(TBL_SQ_Qs_Lot_1[[#This Row],[Shade?]]="Shade", TBL_SQ_Qs_Lot_1[[#This Row],[Question]]="Question not used
"), "", IF(TBL_SQ_Qs_Lot_1[[#This Row],[Response]]&lt;&gt;"", "Done", "Add")), "")</f>
        <v/>
      </c>
      <c r="E108" s="407" t="s">
        <v>779</v>
      </c>
      <c r="F108" s="296" t="str">
        <f t="array" ref="F108">IF(TBL_SQ_Qs_Lot_1[[#This Row],[Type]]="Details", INDEX(TBL_008_Qs_Lot_1[Word limit], MATCH(1, (TBL_SQ_Qs_Lot_1[[#This Row],[Q. No.]]=TBL_008_Qs_Lot_1[Q.])*("Question"=TBL_008_Qs_Lot_1[Type]),0)), "")</f>
        <v/>
      </c>
      <c r="G108" s="296" t="str">
        <f t="array" ref="G108">IF(TBL_SQ_Qs_Lot_1[[#This Row],[Type]]="Details", INDEX(TBL_008_Qs_Lot_1[Max score], MATCH(1, (TBL_SQ_Qs_Lot_1[[#This Row],[Q. No.]]=TBL_008_Qs_Lot_1[Q.])*("Question"=TBL_008_Qs_Lot_1[Type]),0)), "")</f>
        <v/>
      </c>
      <c r="H108" s="296" t="str">
        <f t="array" ref="H108">IF(TBL_SQ_Qs_Lot_1[[#This Row],[Type]]="Details", INDEX(TBL_008_Qs_Lot_1[No.subs], MATCH(1, (TBL_SQ_Qs_Lot_1[[#This Row],[Q. No.]]=TBL_008_Qs_Lot_1[Q.])*("Question"=TBL_008_Qs_Lot_1[Type]),0)), "")</f>
        <v/>
      </c>
      <c r="I108" s="296" t="str">
        <f t="array" ref="I10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8" s="296" t="str">
        <f t="array" ref="J10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8" s="296" t="str">
        <f t="array" ref="K108">IF(TBL_SQ_Qs_Lot_1[[#This Row],[Type]]="Details", INDEX(TBL_008_Qs_Lot_1[Weighting], MATCH(1, (TBL_SQ_Qs_Lot_1[[#This Row],[Q. No.]]=TBL_008_Qs_Lot_1[Q.])*("Question"=TBL_008_Qs_Lot_1[Type]),0)), "")</f>
        <v/>
      </c>
      <c r="L108" s="296" t="str">
        <f>IF($H$4="No", "Shade", IF(OR(TBL_SQ_Qs_Lot_1[[#This Row],[Question]]="Not used
", AND(TBL_SQ_Qs_Lot_1[[#This Row],[Type]]="Details", TBL_SQ_Qs_Lot_1[[#This Row],[Subs]]=0)), "Shade", ""))</f>
        <v>Shade</v>
      </c>
    </row>
    <row r="109" spans="1:12" ht="25" hidden="1" customHeight="1">
      <c r="A109" s="237" t="s">
        <v>441</v>
      </c>
      <c r="B109" s="219" t="str">
        <f t="array" ref="B10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09" s="297"/>
      <c r="D109" s="297" t="str">
        <f>IF(TBL_SQ_Qs_Lot_1[[#This Row],[Type]]="Question", IF(OR(TBL_SQ_Qs_Lot_1[[#This Row],[Shade?]]="Shade", TBL_SQ_Qs_Lot_1[[#This Row],[Question]]="Question not used
"), "", IF(TBL_SQ_Qs_Lot_1[[#This Row],[Response]]&lt;&gt;"", "Done", "Add")), "")</f>
        <v/>
      </c>
      <c r="E109" s="407" t="s">
        <v>209</v>
      </c>
      <c r="F109" s="296" t="str">
        <f t="array" ref="F109">IF(TBL_SQ_Qs_Lot_1[[#This Row],[Type]]="Details", INDEX(TBL_008_Qs_Lot_1[Word limit], MATCH(1, (TBL_SQ_Qs_Lot_1[[#This Row],[Q. No.]]=TBL_008_Qs_Lot_1[Q.])*("Question"=TBL_008_Qs_Lot_1[Type]),0)), "")</f>
        <v/>
      </c>
      <c r="G109" s="296" t="str">
        <f t="array" ref="G109">IF(TBL_SQ_Qs_Lot_1[[#This Row],[Type]]="Details", INDEX(TBL_008_Qs_Lot_1[Max score], MATCH(1, (TBL_SQ_Qs_Lot_1[[#This Row],[Q. No.]]=TBL_008_Qs_Lot_1[Q.])*("Question"=TBL_008_Qs_Lot_1[Type]),0)), "")</f>
        <v/>
      </c>
      <c r="H109" s="296" t="str">
        <f t="array" ref="H109">IF(TBL_SQ_Qs_Lot_1[[#This Row],[Type]]="Details", INDEX(TBL_008_Qs_Lot_1[No.subs], MATCH(1, (TBL_SQ_Qs_Lot_1[[#This Row],[Q. No.]]=TBL_008_Qs_Lot_1[Q.])*("Question"=TBL_008_Qs_Lot_1[Type]),0)), "")</f>
        <v/>
      </c>
      <c r="I109" s="296" t="str">
        <f t="array" ref="I10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09" s="296" t="str">
        <f t="array" ref="J10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09" s="296" t="str">
        <f t="array" ref="K109">IF(TBL_SQ_Qs_Lot_1[[#This Row],[Type]]="Details", INDEX(TBL_008_Qs_Lot_1[Weighting], MATCH(1, (TBL_SQ_Qs_Lot_1[[#This Row],[Q. No.]]=TBL_008_Qs_Lot_1[Q.])*("Question"=TBL_008_Qs_Lot_1[Type]),0)), "")</f>
        <v/>
      </c>
      <c r="L109" s="296" t="str">
        <f>IF($H$4="No", "Shade", IF(OR(TBL_SQ_Qs_Lot_1[[#This Row],[Question]]="Not used
", AND(TBL_SQ_Qs_Lot_1[[#This Row],[Type]]="Details", TBL_SQ_Qs_Lot_1[[#This Row],[Subs]]=0)), "Shade", ""))</f>
        <v>Shade</v>
      </c>
    </row>
    <row r="110" spans="1:12" ht="25" hidden="1" customHeight="1">
      <c r="A110" s="238" t="s">
        <v>441</v>
      </c>
      <c r="B110" s="220" t="str">
        <f t="array" ref="B11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Q6.8 should have a word count of not more than 0 words.
The maximum score for this question is 0.00 marks (0.00 elements x 5.00 marks)
</v>
      </c>
      <c r="C110" s="233"/>
      <c r="D110" s="297" t="str">
        <f>IF(TBL_SQ_Qs_Lot_1[[#This Row],[Type]]="Question", IF(OR(TBL_SQ_Qs_Lot_1[[#This Row],[Shade?]]="Shade", TBL_SQ_Qs_Lot_1[[#This Row],[Question]]="Question not used
"), "", IF(TBL_SQ_Qs_Lot_1[[#This Row],[Response]]&lt;&gt;"", "Done", "Add")), "")</f>
        <v/>
      </c>
      <c r="E110" s="407" t="s">
        <v>798</v>
      </c>
      <c r="F110" s="296">
        <f t="array" ref="F110">IF(TBL_SQ_Qs_Lot_1[[#This Row],[Type]]="Details", INDEX(TBL_008_Qs_Lot_1[Word limit], MATCH(1, (TBL_SQ_Qs_Lot_1[[#This Row],[Q. No.]]=TBL_008_Qs_Lot_1[Q.])*("Question"=TBL_008_Qs_Lot_1[Type]),0)), "")</f>
        <v>0</v>
      </c>
      <c r="G110" s="296">
        <f t="array" ref="G110">IF(TBL_SQ_Qs_Lot_1[[#This Row],[Type]]="Details", INDEX(TBL_008_Qs_Lot_1[Max score], MATCH(1, (TBL_SQ_Qs_Lot_1[[#This Row],[Q. No.]]=TBL_008_Qs_Lot_1[Q.])*("Question"=TBL_008_Qs_Lot_1[Type]),0)), "")</f>
        <v>0</v>
      </c>
      <c r="H110" s="296">
        <f t="array" ref="H110">IF(TBL_SQ_Qs_Lot_1[[#This Row],[Type]]="Details", INDEX(TBL_008_Qs_Lot_1[No.subs], MATCH(1, (TBL_SQ_Qs_Lot_1[[#This Row],[Q. No.]]=TBL_008_Qs_Lot_1[Q.])*("Question"=TBL_008_Qs_Lot_1[Type]),0)), "")</f>
        <v>0</v>
      </c>
      <c r="I110" s="296" t="str">
        <f t="array" ref="I11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0" s="296" t="str">
        <f t="array" ref="J11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0" s="296" t="str">
        <f t="array" ref="K110">IF(TBL_SQ_Qs_Lot_1[[#This Row],[Type]]="Details", INDEX(TBL_008_Qs_Lot_1[Weighting], MATCH(1, (TBL_SQ_Qs_Lot_1[[#This Row],[Q. No.]]=TBL_008_Qs_Lot_1[Q.])*("Question"=TBL_008_Qs_Lot_1[Type]),0)), "")</f>
        <v>N/A</v>
      </c>
      <c r="L110" s="296" t="str">
        <f>IF($H$4="No", "Shade", IF(OR(TBL_SQ_Qs_Lot_1[[#This Row],[Question]]="Not used
", AND(TBL_SQ_Qs_Lot_1[[#This Row],[Type]]="Details", TBL_SQ_Qs_Lot_1[[#This Row],[Subs]]=0)), "Shade", ""))</f>
        <v>Shade</v>
      </c>
    </row>
    <row r="111" spans="1:12" ht="25" hidden="1" customHeight="1">
      <c r="A111" s="239" t="s">
        <v>442</v>
      </c>
      <c r="B111" s="84" t="str">
        <f t="array" ref="B11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1" s="234"/>
      <c r="D111" s="297" t="str">
        <f>IF(TBL_SQ_Qs_Lot_1[[#This Row],[Type]]="Question", IF(OR(TBL_SQ_Qs_Lot_1[[#This Row],[Shade?]]="Shade", TBL_SQ_Qs_Lot_1[[#This Row],[Question]]="Question not used
"), "", IF(TBL_SQ_Qs_Lot_1[[#This Row],[Response]]&lt;&gt;"", "Done", "Add")), "")</f>
        <v/>
      </c>
      <c r="E111" s="407" t="s">
        <v>779</v>
      </c>
      <c r="F111" s="296" t="str">
        <f t="array" ref="F111">IF(TBL_SQ_Qs_Lot_1[[#This Row],[Type]]="Details", INDEX(TBL_008_Qs_Lot_1[Word limit], MATCH(1, (TBL_SQ_Qs_Lot_1[[#This Row],[Q. No.]]=TBL_008_Qs_Lot_1[Q.])*("Question"=TBL_008_Qs_Lot_1[Type]),0)), "")</f>
        <v/>
      </c>
      <c r="G111" s="296" t="str">
        <f t="array" ref="G111">IF(TBL_SQ_Qs_Lot_1[[#This Row],[Type]]="Details", INDEX(TBL_008_Qs_Lot_1[Max score], MATCH(1, (TBL_SQ_Qs_Lot_1[[#This Row],[Q. No.]]=TBL_008_Qs_Lot_1[Q.])*("Question"=TBL_008_Qs_Lot_1[Type]),0)), "")</f>
        <v/>
      </c>
      <c r="H111" s="296" t="str">
        <f t="array" ref="H111">IF(TBL_SQ_Qs_Lot_1[[#This Row],[Type]]="Details", INDEX(TBL_008_Qs_Lot_1[No.subs], MATCH(1, (TBL_SQ_Qs_Lot_1[[#This Row],[Q. No.]]=TBL_008_Qs_Lot_1[Q.])*("Question"=TBL_008_Qs_Lot_1[Type]),0)), "")</f>
        <v/>
      </c>
      <c r="I111" s="296" t="str">
        <f t="array" ref="I11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1" s="296" t="str">
        <f t="array" ref="J11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1" s="296" t="str">
        <f t="array" ref="K111">IF(TBL_SQ_Qs_Lot_1[[#This Row],[Type]]="Details", INDEX(TBL_008_Qs_Lot_1[Weighting], MATCH(1, (TBL_SQ_Qs_Lot_1[[#This Row],[Q. No.]]=TBL_008_Qs_Lot_1[Q.])*("Question"=TBL_008_Qs_Lot_1[Type]),0)), "")</f>
        <v/>
      </c>
      <c r="L111" s="296" t="str">
        <f>IF($H$4="No", "Shade", IF(OR(TBL_SQ_Qs_Lot_1[[#This Row],[Question]]="Not used
", AND(TBL_SQ_Qs_Lot_1[[#This Row],[Type]]="Details", TBL_SQ_Qs_Lot_1[[#This Row],[Subs]]=0)), "Shade", ""))</f>
        <v>Shade</v>
      </c>
    </row>
    <row r="112" spans="1:12" ht="25" hidden="1" customHeight="1">
      <c r="A112" s="239" t="s">
        <v>443</v>
      </c>
      <c r="B112" s="84" t="str">
        <f t="array" ref="B11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2" s="234"/>
      <c r="D112" s="297" t="str">
        <f>IF(TBL_SQ_Qs_Lot_1[[#This Row],[Type]]="Question", IF(OR(TBL_SQ_Qs_Lot_1[[#This Row],[Shade?]]="Shade", TBL_SQ_Qs_Lot_1[[#This Row],[Question]]="Question not used
"), "", IF(TBL_SQ_Qs_Lot_1[[#This Row],[Response]]&lt;&gt;"", "Done", "Add")), "")</f>
        <v/>
      </c>
      <c r="E112" s="407" t="s">
        <v>779</v>
      </c>
      <c r="F112" s="296" t="str">
        <f t="array" ref="F112">IF(TBL_SQ_Qs_Lot_1[[#This Row],[Type]]="Details", INDEX(TBL_008_Qs_Lot_1[Word limit], MATCH(1, (TBL_SQ_Qs_Lot_1[[#This Row],[Q. No.]]=TBL_008_Qs_Lot_1[Q.])*("Question"=TBL_008_Qs_Lot_1[Type]),0)), "")</f>
        <v/>
      </c>
      <c r="G112" s="296" t="str">
        <f t="array" ref="G112">IF(TBL_SQ_Qs_Lot_1[[#This Row],[Type]]="Details", INDEX(TBL_008_Qs_Lot_1[Max score], MATCH(1, (TBL_SQ_Qs_Lot_1[[#This Row],[Q. No.]]=TBL_008_Qs_Lot_1[Q.])*("Question"=TBL_008_Qs_Lot_1[Type]),0)), "")</f>
        <v/>
      </c>
      <c r="H112" s="296" t="str">
        <f t="array" ref="H112">IF(TBL_SQ_Qs_Lot_1[[#This Row],[Type]]="Details", INDEX(TBL_008_Qs_Lot_1[No.subs], MATCH(1, (TBL_SQ_Qs_Lot_1[[#This Row],[Q. No.]]=TBL_008_Qs_Lot_1[Q.])*("Question"=TBL_008_Qs_Lot_1[Type]),0)), "")</f>
        <v/>
      </c>
      <c r="I112" s="296" t="str">
        <f t="array" ref="I11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2" s="296" t="str">
        <f t="array" ref="J11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2" s="296" t="str">
        <f t="array" ref="K112">IF(TBL_SQ_Qs_Lot_1[[#This Row],[Type]]="Details", INDEX(TBL_008_Qs_Lot_1[Weighting], MATCH(1, (TBL_SQ_Qs_Lot_1[[#This Row],[Q. No.]]=TBL_008_Qs_Lot_1[Q.])*("Question"=TBL_008_Qs_Lot_1[Type]),0)), "")</f>
        <v/>
      </c>
      <c r="L112" s="296" t="str">
        <f>IF($H$4="No", "Shade", IF(OR(TBL_SQ_Qs_Lot_1[[#This Row],[Question]]="Not used
", AND(TBL_SQ_Qs_Lot_1[[#This Row],[Type]]="Details", TBL_SQ_Qs_Lot_1[[#This Row],[Subs]]=0)), "Shade", ""))</f>
        <v>Shade</v>
      </c>
    </row>
    <row r="113" spans="1:12" ht="25" hidden="1" customHeight="1">
      <c r="A113" s="239" t="s">
        <v>444</v>
      </c>
      <c r="B113" s="84" t="str">
        <f t="array" ref="B11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3" s="234"/>
      <c r="D113" s="297" t="str">
        <f>IF(TBL_SQ_Qs_Lot_1[[#This Row],[Type]]="Question", IF(OR(TBL_SQ_Qs_Lot_1[[#This Row],[Shade?]]="Shade", TBL_SQ_Qs_Lot_1[[#This Row],[Question]]="Question not used
"), "", IF(TBL_SQ_Qs_Lot_1[[#This Row],[Response]]&lt;&gt;"", "Done", "Add")), "")</f>
        <v/>
      </c>
      <c r="E113" s="407" t="s">
        <v>779</v>
      </c>
      <c r="F113" s="296" t="str">
        <f t="array" ref="F113">IF(TBL_SQ_Qs_Lot_1[[#This Row],[Type]]="Details", INDEX(TBL_008_Qs_Lot_1[Word limit], MATCH(1, (TBL_SQ_Qs_Lot_1[[#This Row],[Q. No.]]=TBL_008_Qs_Lot_1[Q.])*("Question"=TBL_008_Qs_Lot_1[Type]),0)), "")</f>
        <v/>
      </c>
      <c r="G113" s="296" t="str">
        <f t="array" ref="G113">IF(TBL_SQ_Qs_Lot_1[[#This Row],[Type]]="Details", INDEX(TBL_008_Qs_Lot_1[Max score], MATCH(1, (TBL_SQ_Qs_Lot_1[[#This Row],[Q. No.]]=TBL_008_Qs_Lot_1[Q.])*("Question"=TBL_008_Qs_Lot_1[Type]),0)), "")</f>
        <v/>
      </c>
      <c r="H113" s="296" t="str">
        <f t="array" ref="H113">IF(TBL_SQ_Qs_Lot_1[[#This Row],[Type]]="Details", INDEX(TBL_008_Qs_Lot_1[No.subs], MATCH(1, (TBL_SQ_Qs_Lot_1[[#This Row],[Q. No.]]=TBL_008_Qs_Lot_1[Q.])*("Question"=TBL_008_Qs_Lot_1[Type]),0)), "")</f>
        <v/>
      </c>
      <c r="I113" s="296" t="str">
        <f t="array" ref="I11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3" s="296" t="str">
        <f t="array" ref="J11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3" s="296" t="str">
        <f t="array" ref="K113">IF(TBL_SQ_Qs_Lot_1[[#This Row],[Type]]="Details", INDEX(TBL_008_Qs_Lot_1[Weighting], MATCH(1, (TBL_SQ_Qs_Lot_1[[#This Row],[Q. No.]]=TBL_008_Qs_Lot_1[Q.])*("Question"=TBL_008_Qs_Lot_1[Type]),0)), "")</f>
        <v/>
      </c>
      <c r="L113" s="296" t="str">
        <f>IF($H$4="No", "Shade", IF(OR(TBL_SQ_Qs_Lot_1[[#This Row],[Question]]="Not used
", AND(TBL_SQ_Qs_Lot_1[[#This Row],[Type]]="Details", TBL_SQ_Qs_Lot_1[[#This Row],[Subs]]=0)), "Shade", ""))</f>
        <v>Shade</v>
      </c>
    </row>
    <row r="114" spans="1:12" ht="25" hidden="1" customHeight="1">
      <c r="A114" s="239" t="s">
        <v>445</v>
      </c>
      <c r="B114" s="84" t="str">
        <f t="array" ref="B11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4" s="234"/>
      <c r="D114" s="297" t="str">
        <f>IF(TBL_SQ_Qs_Lot_1[[#This Row],[Type]]="Question", IF(OR(TBL_SQ_Qs_Lot_1[[#This Row],[Shade?]]="Shade", TBL_SQ_Qs_Lot_1[[#This Row],[Question]]="Question not used
"), "", IF(TBL_SQ_Qs_Lot_1[[#This Row],[Response]]&lt;&gt;"", "Done", "Add")), "")</f>
        <v/>
      </c>
      <c r="E114" s="407" t="s">
        <v>779</v>
      </c>
      <c r="F114" s="296" t="str">
        <f t="array" ref="F114">IF(TBL_SQ_Qs_Lot_1[[#This Row],[Type]]="Details", INDEX(TBL_008_Qs_Lot_1[Word limit], MATCH(1, (TBL_SQ_Qs_Lot_1[[#This Row],[Q. No.]]=TBL_008_Qs_Lot_1[Q.])*("Question"=TBL_008_Qs_Lot_1[Type]),0)), "")</f>
        <v/>
      </c>
      <c r="G114" s="296" t="str">
        <f t="array" ref="G114">IF(TBL_SQ_Qs_Lot_1[[#This Row],[Type]]="Details", INDEX(TBL_008_Qs_Lot_1[Max score], MATCH(1, (TBL_SQ_Qs_Lot_1[[#This Row],[Q. No.]]=TBL_008_Qs_Lot_1[Q.])*("Question"=TBL_008_Qs_Lot_1[Type]),0)), "")</f>
        <v/>
      </c>
      <c r="H114" s="296" t="str">
        <f t="array" ref="H114">IF(TBL_SQ_Qs_Lot_1[[#This Row],[Type]]="Details", INDEX(TBL_008_Qs_Lot_1[No.subs], MATCH(1, (TBL_SQ_Qs_Lot_1[[#This Row],[Q. No.]]=TBL_008_Qs_Lot_1[Q.])*("Question"=TBL_008_Qs_Lot_1[Type]),0)), "")</f>
        <v/>
      </c>
      <c r="I114" s="296" t="str">
        <f t="array" ref="I11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4" s="296" t="str">
        <f t="array" ref="J11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4" s="296" t="str">
        <f t="array" ref="K114">IF(TBL_SQ_Qs_Lot_1[[#This Row],[Type]]="Details", INDEX(TBL_008_Qs_Lot_1[Weighting], MATCH(1, (TBL_SQ_Qs_Lot_1[[#This Row],[Q. No.]]=TBL_008_Qs_Lot_1[Q.])*("Question"=TBL_008_Qs_Lot_1[Type]),0)), "")</f>
        <v/>
      </c>
      <c r="L114" s="296" t="str">
        <f>IF($H$4="No", "Shade", IF(OR(TBL_SQ_Qs_Lot_1[[#This Row],[Question]]="Not used
", AND(TBL_SQ_Qs_Lot_1[[#This Row],[Type]]="Details", TBL_SQ_Qs_Lot_1[[#This Row],[Subs]]=0)), "Shade", ""))</f>
        <v>Shade</v>
      </c>
    </row>
    <row r="115" spans="1:12" ht="25" hidden="1" customHeight="1">
      <c r="A115" s="239" t="s">
        <v>446</v>
      </c>
      <c r="B115" s="84" t="str">
        <f t="array" ref="B11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5" s="234"/>
      <c r="D115" s="297" t="str">
        <f>IF(TBL_SQ_Qs_Lot_1[[#This Row],[Type]]="Question", IF(OR(TBL_SQ_Qs_Lot_1[[#This Row],[Shade?]]="Shade", TBL_SQ_Qs_Lot_1[[#This Row],[Question]]="Question not used
"), "", IF(TBL_SQ_Qs_Lot_1[[#This Row],[Response]]&lt;&gt;"", "Done", "Add")), "")</f>
        <v/>
      </c>
      <c r="E115" s="407" t="s">
        <v>779</v>
      </c>
      <c r="F115" s="296" t="str">
        <f t="array" ref="F115">IF(TBL_SQ_Qs_Lot_1[[#This Row],[Type]]="Details", INDEX(TBL_008_Qs_Lot_1[Word limit], MATCH(1, (TBL_SQ_Qs_Lot_1[[#This Row],[Q. No.]]=TBL_008_Qs_Lot_1[Q.])*("Question"=TBL_008_Qs_Lot_1[Type]),0)), "")</f>
        <v/>
      </c>
      <c r="G115" s="296" t="str">
        <f t="array" ref="G115">IF(TBL_SQ_Qs_Lot_1[[#This Row],[Type]]="Details", INDEX(TBL_008_Qs_Lot_1[Max score], MATCH(1, (TBL_SQ_Qs_Lot_1[[#This Row],[Q. No.]]=TBL_008_Qs_Lot_1[Q.])*("Question"=TBL_008_Qs_Lot_1[Type]),0)), "")</f>
        <v/>
      </c>
      <c r="H115" s="296" t="str">
        <f t="array" ref="H115">IF(TBL_SQ_Qs_Lot_1[[#This Row],[Type]]="Details", INDEX(TBL_008_Qs_Lot_1[No.subs], MATCH(1, (TBL_SQ_Qs_Lot_1[[#This Row],[Q. No.]]=TBL_008_Qs_Lot_1[Q.])*("Question"=TBL_008_Qs_Lot_1[Type]),0)), "")</f>
        <v/>
      </c>
      <c r="I115" s="296" t="str">
        <f t="array" ref="I11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5" s="296" t="str">
        <f t="array" ref="J11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5" s="296" t="str">
        <f t="array" ref="K115">IF(TBL_SQ_Qs_Lot_1[[#This Row],[Type]]="Details", INDEX(TBL_008_Qs_Lot_1[Weighting], MATCH(1, (TBL_SQ_Qs_Lot_1[[#This Row],[Q. No.]]=TBL_008_Qs_Lot_1[Q.])*("Question"=TBL_008_Qs_Lot_1[Type]),0)), "")</f>
        <v/>
      </c>
      <c r="L115" s="296" t="str">
        <f>IF($H$4="No", "Shade", IF(OR(TBL_SQ_Qs_Lot_1[[#This Row],[Question]]="Not used
", AND(TBL_SQ_Qs_Lot_1[[#This Row],[Type]]="Details", TBL_SQ_Qs_Lot_1[[#This Row],[Subs]]=0)), "Shade", ""))</f>
        <v>Shade</v>
      </c>
    </row>
    <row r="116" spans="1:12" ht="25" hidden="1" customHeight="1">
      <c r="A116" s="239" t="s">
        <v>447</v>
      </c>
      <c r="B116" s="84" t="str">
        <f t="array" ref="B11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6" s="234"/>
      <c r="D116" s="297" t="str">
        <f>IF(TBL_SQ_Qs_Lot_1[[#This Row],[Type]]="Question", IF(OR(TBL_SQ_Qs_Lot_1[[#This Row],[Shade?]]="Shade", TBL_SQ_Qs_Lot_1[[#This Row],[Question]]="Question not used
"), "", IF(TBL_SQ_Qs_Lot_1[[#This Row],[Response]]&lt;&gt;"", "Done", "Add")), "")</f>
        <v/>
      </c>
      <c r="E116" s="407" t="s">
        <v>779</v>
      </c>
      <c r="F116" s="296" t="str">
        <f t="array" ref="F116">IF(TBL_SQ_Qs_Lot_1[[#This Row],[Type]]="Details", INDEX(TBL_008_Qs_Lot_1[Word limit], MATCH(1, (TBL_SQ_Qs_Lot_1[[#This Row],[Q. No.]]=TBL_008_Qs_Lot_1[Q.])*("Question"=TBL_008_Qs_Lot_1[Type]),0)), "")</f>
        <v/>
      </c>
      <c r="G116" s="296" t="str">
        <f t="array" ref="G116">IF(TBL_SQ_Qs_Lot_1[[#This Row],[Type]]="Details", INDEX(TBL_008_Qs_Lot_1[Max score], MATCH(1, (TBL_SQ_Qs_Lot_1[[#This Row],[Q. No.]]=TBL_008_Qs_Lot_1[Q.])*("Question"=TBL_008_Qs_Lot_1[Type]),0)), "")</f>
        <v/>
      </c>
      <c r="H116" s="296" t="str">
        <f t="array" ref="H116">IF(TBL_SQ_Qs_Lot_1[[#This Row],[Type]]="Details", INDEX(TBL_008_Qs_Lot_1[No.subs], MATCH(1, (TBL_SQ_Qs_Lot_1[[#This Row],[Q. No.]]=TBL_008_Qs_Lot_1[Q.])*("Question"=TBL_008_Qs_Lot_1[Type]),0)), "")</f>
        <v/>
      </c>
      <c r="I116" s="296" t="str">
        <f t="array" ref="I11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6" s="296" t="str">
        <f t="array" ref="J11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6" s="296" t="str">
        <f t="array" ref="K116">IF(TBL_SQ_Qs_Lot_1[[#This Row],[Type]]="Details", INDEX(TBL_008_Qs_Lot_1[Weighting], MATCH(1, (TBL_SQ_Qs_Lot_1[[#This Row],[Q. No.]]=TBL_008_Qs_Lot_1[Q.])*("Question"=TBL_008_Qs_Lot_1[Type]),0)), "")</f>
        <v/>
      </c>
      <c r="L116" s="296" t="str">
        <f>IF($H$4="No", "Shade", IF(OR(TBL_SQ_Qs_Lot_1[[#This Row],[Question]]="Not used
", AND(TBL_SQ_Qs_Lot_1[[#This Row],[Type]]="Details", TBL_SQ_Qs_Lot_1[[#This Row],[Subs]]=0)), "Shade", ""))</f>
        <v>Shade</v>
      </c>
    </row>
    <row r="117" spans="1:12" ht="25" hidden="1" customHeight="1">
      <c r="A117" s="239" t="s">
        <v>448</v>
      </c>
      <c r="B117" s="84" t="str">
        <f t="array" ref="B11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7" s="234"/>
      <c r="D117" s="297" t="str">
        <f>IF(TBL_SQ_Qs_Lot_1[[#This Row],[Type]]="Question", IF(OR(TBL_SQ_Qs_Lot_1[[#This Row],[Shade?]]="Shade", TBL_SQ_Qs_Lot_1[[#This Row],[Question]]="Question not used
"), "", IF(TBL_SQ_Qs_Lot_1[[#This Row],[Response]]&lt;&gt;"", "Done", "Add")), "")</f>
        <v/>
      </c>
      <c r="E117" s="407" t="s">
        <v>779</v>
      </c>
      <c r="F117" s="296" t="str">
        <f t="array" ref="F117">IF(TBL_SQ_Qs_Lot_1[[#This Row],[Type]]="Details", INDEX(TBL_008_Qs_Lot_1[Word limit], MATCH(1, (TBL_SQ_Qs_Lot_1[[#This Row],[Q. No.]]=TBL_008_Qs_Lot_1[Q.])*("Question"=TBL_008_Qs_Lot_1[Type]),0)), "")</f>
        <v/>
      </c>
      <c r="G117" s="296" t="str">
        <f t="array" ref="G117">IF(TBL_SQ_Qs_Lot_1[[#This Row],[Type]]="Details", INDEX(TBL_008_Qs_Lot_1[Max score], MATCH(1, (TBL_SQ_Qs_Lot_1[[#This Row],[Q. No.]]=TBL_008_Qs_Lot_1[Q.])*("Question"=TBL_008_Qs_Lot_1[Type]),0)), "")</f>
        <v/>
      </c>
      <c r="H117" s="296" t="str">
        <f t="array" ref="H117">IF(TBL_SQ_Qs_Lot_1[[#This Row],[Type]]="Details", INDEX(TBL_008_Qs_Lot_1[No.subs], MATCH(1, (TBL_SQ_Qs_Lot_1[[#This Row],[Q. No.]]=TBL_008_Qs_Lot_1[Q.])*("Question"=TBL_008_Qs_Lot_1[Type]),0)), "")</f>
        <v/>
      </c>
      <c r="I117" s="296" t="str">
        <f t="array" ref="I11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7" s="296" t="str">
        <f t="array" ref="J11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7" s="296" t="str">
        <f t="array" ref="K117">IF(TBL_SQ_Qs_Lot_1[[#This Row],[Type]]="Details", INDEX(TBL_008_Qs_Lot_1[Weighting], MATCH(1, (TBL_SQ_Qs_Lot_1[[#This Row],[Q. No.]]=TBL_008_Qs_Lot_1[Q.])*("Question"=TBL_008_Qs_Lot_1[Type]),0)), "")</f>
        <v/>
      </c>
      <c r="L117" s="296" t="str">
        <f>IF($H$4="No", "Shade", IF(OR(TBL_SQ_Qs_Lot_1[[#This Row],[Question]]="Not used
", AND(TBL_SQ_Qs_Lot_1[[#This Row],[Type]]="Details", TBL_SQ_Qs_Lot_1[[#This Row],[Subs]]=0)), "Shade", ""))</f>
        <v>Shade</v>
      </c>
    </row>
    <row r="118" spans="1:12" ht="25" hidden="1" customHeight="1">
      <c r="A118" s="239" t="s">
        <v>449</v>
      </c>
      <c r="B118" s="84" t="str">
        <f t="array" ref="B11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8" s="234"/>
      <c r="D118" s="297" t="str">
        <f>IF(TBL_SQ_Qs_Lot_1[[#This Row],[Type]]="Question", IF(OR(TBL_SQ_Qs_Lot_1[[#This Row],[Shade?]]="Shade", TBL_SQ_Qs_Lot_1[[#This Row],[Question]]="Question not used
"), "", IF(TBL_SQ_Qs_Lot_1[[#This Row],[Response]]&lt;&gt;"", "Done", "Add")), "")</f>
        <v/>
      </c>
      <c r="E118" s="407" t="s">
        <v>779</v>
      </c>
      <c r="F118" s="296" t="str">
        <f t="array" ref="F118">IF(TBL_SQ_Qs_Lot_1[[#This Row],[Type]]="Details", INDEX(TBL_008_Qs_Lot_1[Word limit], MATCH(1, (TBL_SQ_Qs_Lot_1[[#This Row],[Q. No.]]=TBL_008_Qs_Lot_1[Q.])*("Question"=TBL_008_Qs_Lot_1[Type]),0)), "")</f>
        <v/>
      </c>
      <c r="G118" s="296" t="str">
        <f t="array" ref="G118">IF(TBL_SQ_Qs_Lot_1[[#This Row],[Type]]="Details", INDEX(TBL_008_Qs_Lot_1[Max score], MATCH(1, (TBL_SQ_Qs_Lot_1[[#This Row],[Q. No.]]=TBL_008_Qs_Lot_1[Q.])*("Question"=TBL_008_Qs_Lot_1[Type]),0)), "")</f>
        <v/>
      </c>
      <c r="H118" s="296" t="str">
        <f t="array" ref="H118">IF(TBL_SQ_Qs_Lot_1[[#This Row],[Type]]="Details", INDEX(TBL_008_Qs_Lot_1[No.subs], MATCH(1, (TBL_SQ_Qs_Lot_1[[#This Row],[Q. No.]]=TBL_008_Qs_Lot_1[Q.])*("Question"=TBL_008_Qs_Lot_1[Type]),0)), "")</f>
        <v/>
      </c>
      <c r="I118" s="296" t="str">
        <f t="array" ref="I11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8" s="296" t="str">
        <f t="array" ref="J11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8" s="296" t="str">
        <f t="array" ref="K118">IF(TBL_SQ_Qs_Lot_1[[#This Row],[Type]]="Details", INDEX(TBL_008_Qs_Lot_1[Weighting], MATCH(1, (TBL_SQ_Qs_Lot_1[[#This Row],[Q. No.]]=TBL_008_Qs_Lot_1[Q.])*("Question"=TBL_008_Qs_Lot_1[Type]),0)), "")</f>
        <v/>
      </c>
      <c r="L118" s="296" t="str">
        <f>IF($H$4="No", "Shade", IF(OR(TBL_SQ_Qs_Lot_1[[#This Row],[Question]]="Not used
", AND(TBL_SQ_Qs_Lot_1[[#This Row],[Type]]="Details", TBL_SQ_Qs_Lot_1[[#This Row],[Subs]]=0)), "Shade", ""))</f>
        <v>Shade</v>
      </c>
    </row>
    <row r="119" spans="1:12" ht="25" hidden="1" customHeight="1">
      <c r="A119" s="239" t="s">
        <v>450</v>
      </c>
      <c r="B119" s="84" t="str">
        <f t="array" ref="B11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19" s="234"/>
      <c r="D119" s="297" t="str">
        <f>IF(TBL_SQ_Qs_Lot_1[[#This Row],[Type]]="Question", IF(OR(TBL_SQ_Qs_Lot_1[[#This Row],[Shade?]]="Shade", TBL_SQ_Qs_Lot_1[[#This Row],[Question]]="Question not used
"), "", IF(TBL_SQ_Qs_Lot_1[[#This Row],[Response]]&lt;&gt;"", "Done", "Add")), "")</f>
        <v/>
      </c>
      <c r="E119" s="407" t="s">
        <v>779</v>
      </c>
      <c r="F119" s="296" t="str">
        <f t="array" ref="F119">IF(TBL_SQ_Qs_Lot_1[[#This Row],[Type]]="Details", INDEX(TBL_008_Qs_Lot_1[Word limit], MATCH(1, (TBL_SQ_Qs_Lot_1[[#This Row],[Q. No.]]=TBL_008_Qs_Lot_1[Q.])*("Question"=TBL_008_Qs_Lot_1[Type]),0)), "")</f>
        <v/>
      </c>
      <c r="G119" s="296" t="str">
        <f t="array" ref="G119">IF(TBL_SQ_Qs_Lot_1[[#This Row],[Type]]="Details", INDEX(TBL_008_Qs_Lot_1[Max score], MATCH(1, (TBL_SQ_Qs_Lot_1[[#This Row],[Q. No.]]=TBL_008_Qs_Lot_1[Q.])*("Question"=TBL_008_Qs_Lot_1[Type]),0)), "")</f>
        <v/>
      </c>
      <c r="H119" s="296" t="str">
        <f t="array" ref="H119">IF(TBL_SQ_Qs_Lot_1[[#This Row],[Type]]="Details", INDEX(TBL_008_Qs_Lot_1[No.subs], MATCH(1, (TBL_SQ_Qs_Lot_1[[#This Row],[Q. No.]]=TBL_008_Qs_Lot_1[Q.])*("Question"=TBL_008_Qs_Lot_1[Type]),0)), "")</f>
        <v/>
      </c>
      <c r="I119" s="296" t="str">
        <f t="array" ref="I11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19" s="296" t="str">
        <f t="array" ref="J11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19" s="296" t="str">
        <f t="array" ref="K119">IF(TBL_SQ_Qs_Lot_1[[#This Row],[Type]]="Details", INDEX(TBL_008_Qs_Lot_1[Weighting], MATCH(1, (TBL_SQ_Qs_Lot_1[[#This Row],[Q. No.]]=TBL_008_Qs_Lot_1[Q.])*("Question"=TBL_008_Qs_Lot_1[Type]),0)), "")</f>
        <v/>
      </c>
      <c r="L119" s="296" t="str">
        <f>IF($H$4="No", "Shade", IF(OR(TBL_SQ_Qs_Lot_1[[#This Row],[Question]]="Not used
", AND(TBL_SQ_Qs_Lot_1[[#This Row],[Type]]="Details", TBL_SQ_Qs_Lot_1[[#This Row],[Subs]]=0)), "Shade", ""))</f>
        <v>Shade</v>
      </c>
    </row>
    <row r="120" spans="1:12" ht="25" hidden="1" customHeight="1">
      <c r="A120" s="232" t="s">
        <v>451</v>
      </c>
      <c r="B120" s="86" t="str">
        <f t="array" ref="B12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0" s="235"/>
      <c r="D120" s="297" t="str">
        <f>IF(TBL_SQ_Qs_Lot_1[[#This Row],[Type]]="Question", IF(OR(TBL_SQ_Qs_Lot_1[[#This Row],[Shade?]]="Shade", TBL_SQ_Qs_Lot_1[[#This Row],[Question]]="Question not used
"), "", IF(TBL_SQ_Qs_Lot_1[[#This Row],[Response]]&lt;&gt;"", "Done", "Add")), "")</f>
        <v/>
      </c>
      <c r="E120" s="407" t="s">
        <v>779</v>
      </c>
      <c r="F120" s="296" t="str">
        <f t="array" ref="F120">IF(TBL_SQ_Qs_Lot_1[[#This Row],[Type]]="Details", INDEX(TBL_008_Qs_Lot_1[Word limit], MATCH(1, (TBL_SQ_Qs_Lot_1[[#This Row],[Q. No.]]=TBL_008_Qs_Lot_1[Q.])*("Question"=TBL_008_Qs_Lot_1[Type]),0)), "")</f>
        <v/>
      </c>
      <c r="G120" s="296" t="str">
        <f t="array" ref="G120">IF(TBL_SQ_Qs_Lot_1[[#This Row],[Type]]="Details", INDEX(TBL_008_Qs_Lot_1[Max score], MATCH(1, (TBL_SQ_Qs_Lot_1[[#This Row],[Q. No.]]=TBL_008_Qs_Lot_1[Q.])*("Question"=TBL_008_Qs_Lot_1[Type]),0)), "")</f>
        <v/>
      </c>
      <c r="H120" s="296" t="str">
        <f t="array" ref="H120">IF(TBL_SQ_Qs_Lot_1[[#This Row],[Type]]="Details", INDEX(TBL_008_Qs_Lot_1[No.subs], MATCH(1, (TBL_SQ_Qs_Lot_1[[#This Row],[Q. No.]]=TBL_008_Qs_Lot_1[Q.])*("Question"=TBL_008_Qs_Lot_1[Type]),0)), "")</f>
        <v/>
      </c>
      <c r="I120" s="296" t="str">
        <f t="array" ref="I12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0" s="296" t="str">
        <f t="array" ref="J12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0" s="296" t="str">
        <f t="array" ref="K120">IF(TBL_SQ_Qs_Lot_1[[#This Row],[Type]]="Details", INDEX(TBL_008_Qs_Lot_1[Weighting], MATCH(1, (TBL_SQ_Qs_Lot_1[[#This Row],[Q. No.]]=TBL_008_Qs_Lot_1[Q.])*("Question"=TBL_008_Qs_Lot_1[Type]),0)), "")</f>
        <v/>
      </c>
      <c r="L120" s="296" t="str">
        <f>IF($H$4="No", "Shade", IF(OR(TBL_SQ_Qs_Lot_1[[#This Row],[Question]]="Not used
", AND(TBL_SQ_Qs_Lot_1[[#This Row],[Type]]="Details", TBL_SQ_Qs_Lot_1[[#This Row],[Subs]]=0)), "Shade", ""))</f>
        <v>Shade</v>
      </c>
    </row>
    <row r="121" spans="1:12" ht="25" hidden="1" customHeight="1">
      <c r="A121" s="237" t="s">
        <v>697</v>
      </c>
      <c r="B121" s="219" t="str">
        <f t="array" ref="B12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1" s="297"/>
      <c r="D121" s="297" t="str">
        <f>IF(TBL_SQ_Qs_Lot_1[[#This Row],[Type]]="Question", IF(OR(TBL_SQ_Qs_Lot_1[[#This Row],[Shade?]]="Shade", TBL_SQ_Qs_Lot_1[[#This Row],[Question]]="Question not used
"), "", IF(TBL_SQ_Qs_Lot_1[[#This Row],[Response]]&lt;&gt;"", "Done", "Add")), "")</f>
        <v/>
      </c>
      <c r="E121" s="407" t="s">
        <v>209</v>
      </c>
      <c r="F121" s="296" t="str">
        <f t="array" ref="F121">IF(TBL_SQ_Qs_Lot_1[[#This Row],[Type]]="Details", INDEX(TBL_008_Qs_Lot_1[Word limit], MATCH(1, (TBL_SQ_Qs_Lot_1[[#This Row],[Q. No.]]=TBL_008_Qs_Lot_1[Q.])*("Question"=TBL_008_Qs_Lot_1[Type]),0)), "")</f>
        <v/>
      </c>
      <c r="G121" s="296" t="str">
        <f t="array" ref="G121">IF(TBL_SQ_Qs_Lot_1[[#This Row],[Type]]="Details", INDEX(TBL_008_Qs_Lot_1[Max score], MATCH(1, (TBL_SQ_Qs_Lot_1[[#This Row],[Q. No.]]=TBL_008_Qs_Lot_1[Q.])*("Question"=TBL_008_Qs_Lot_1[Type]),0)), "")</f>
        <v/>
      </c>
      <c r="H121" s="296" t="str">
        <f t="array" ref="H121">IF(TBL_SQ_Qs_Lot_1[[#This Row],[Type]]="Details", INDEX(TBL_008_Qs_Lot_1[No.subs], MATCH(1, (TBL_SQ_Qs_Lot_1[[#This Row],[Q. No.]]=TBL_008_Qs_Lot_1[Q.])*("Question"=TBL_008_Qs_Lot_1[Type]),0)), "")</f>
        <v/>
      </c>
      <c r="I121" s="296" t="str">
        <f t="array" ref="I12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1" s="296" t="str">
        <f t="array" ref="J12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1" s="296" t="str">
        <f t="array" ref="K121">IF(TBL_SQ_Qs_Lot_1[[#This Row],[Type]]="Details", INDEX(TBL_008_Qs_Lot_1[Weighting], MATCH(1, (TBL_SQ_Qs_Lot_1[[#This Row],[Q. No.]]=TBL_008_Qs_Lot_1[Q.])*("Question"=TBL_008_Qs_Lot_1[Type]),0)), "")</f>
        <v/>
      </c>
      <c r="L121" s="296" t="str">
        <f>IF($H$4="No", "Shade", IF(OR(TBL_SQ_Qs_Lot_1[[#This Row],[Question]]="Not used
", AND(TBL_SQ_Qs_Lot_1[[#This Row],[Type]]="Details", TBL_SQ_Qs_Lot_1[[#This Row],[Subs]]=0)), "Shade", ""))</f>
        <v>Shade</v>
      </c>
    </row>
    <row r="122" spans="1:12" ht="25" hidden="1" customHeight="1">
      <c r="A122" s="238" t="s">
        <v>697</v>
      </c>
      <c r="B122" s="220" t="str">
        <f t="array" ref="B12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Q6.9 should have a word count of not more than 0 words.
The maximum score for this question is 0.00 marks (0.00 elements x 5.00 marks)
</v>
      </c>
      <c r="C122" s="233"/>
      <c r="D122" s="297" t="str">
        <f>IF(TBL_SQ_Qs_Lot_1[[#This Row],[Type]]="Question", IF(OR(TBL_SQ_Qs_Lot_1[[#This Row],[Shade?]]="Shade", TBL_SQ_Qs_Lot_1[[#This Row],[Question]]="Question not used
"), "", IF(TBL_SQ_Qs_Lot_1[[#This Row],[Response]]&lt;&gt;"", "Done", "Add")), "")</f>
        <v/>
      </c>
      <c r="E122" s="407" t="s">
        <v>798</v>
      </c>
      <c r="F122" s="296">
        <f t="array" ref="F122">IF(TBL_SQ_Qs_Lot_1[[#This Row],[Type]]="Details", INDEX(TBL_008_Qs_Lot_1[Word limit], MATCH(1, (TBL_SQ_Qs_Lot_1[[#This Row],[Q. No.]]=TBL_008_Qs_Lot_1[Q.])*("Question"=TBL_008_Qs_Lot_1[Type]),0)), "")</f>
        <v>0</v>
      </c>
      <c r="G122" s="296">
        <f t="array" ref="G122">IF(TBL_SQ_Qs_Lot_1[[#This Row],[Type]]="Details", INDEX(TBL_008_Qs_Lot_1[Max score], MATCH(1, (TBL_SQ_Qs_Lot_1[[#This Row],[Q. No.]]=TBL_008_Qs_Lot_1[Q.])*("Question"=TBL_008_Qs_Lot_1[Type]),0)), "")</f>
        <v>0</v>
      </c>
      <c r="H122" s="296">
        <f t="array" ref="H122">IF(TBL_SQ_Qs_Lot_1[[#This Row],[Type]]="Details", INDEX(TBL_008_Qs_Lot_1[No.subs], MATCH(1, (TBL_SQ_Qs_Lot_1[[#This Row],[Q. No.]]=TBL_008_Qs_Lot_1[Q.])*("Question"=TBL_008_Qs_Lot_1[Type]),0)), "")</f>
        <v>0</v>
      </c>
      <c r="I122" s="296" t="str">
        <f t="array" ref="I12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2" s="296" t="str">
        <f t="array" ref="J12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2" s="296" t="str">
        <f t="array" ref="K122">IF(TBL_SQ_Qs_Lot_1[[#This Row],[Type]]="Details", INDEX(TBL_008_Qs_Lot_1[Weighting], MATCH(1, (TBL_SQ_Qs_Lot_1[[#This Row],[Q. No.]]=TBL_008_Qs_Lot_1[Q.])*("Question"=TBL_008_Qs_Lot_1[Type]),0)), "")</f>
        <v>N/A</v>
      </c>
      <c r="L122" s="296" t="str">
        <f>IF($H$4="No", "Shade", IF(OR(TBL_SQ_Qs_Lot_1[[#This Row],[Question]]="Not used
", AND(TBL_SQ_Qs_Lot_1[[#This Row],[Type]]="Details", TBL_SQ_Qs_Lot_1[[#This Row],[Subs]]=0)), "Shade", ""))</f>
        <v>Shade</v>
      </c>
    </row>
    <row r="123" spans="1:12" ht="25" hidden="1" customHeight="1">
      <c r="A123" s="239" t="s">
        <v>698</v>
      </c>
      <c r="B123" s="84" t="str">
        <f t="array" ref="B12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3" s="234"/>
      <c r="D123" s="297" t="str">
        <f>IF(TBL_SQ_Qs_Lot_1[[#This Row],[Type]]="Question", IF(OR(TBL_SQ_Qs_Lot_1[[#This Row],[Shade?]]="Shade", TBL_SQ_Qs_Lot_1[[#This Row],[Question]]="Question not used
"), "", IF(TBL_SQ_Qs_Lot_1[[#This Row],[Response]]&lt;&gt;"", "Done", "Add")), "")</f>
        <v/>
      </c>
      <c r="E123" s="407" t="s">
        <v>779</v>
      </c>
      <c r="F123" s="296" t="str">
        <f t="array" ref="F123">IF(TBL_SQ_Qs_Lot_1[[#This Row],[Type]]="Details", INDEX(TBL_008_Qs_Lot_1[Word limit], MATCH(1, (TBL_SQ_Qs_Lot_1[[#This Row],[Q. No.]]=TBL_008_Qs_Lot_1[Q.])*("Question"=TBL_008_Qs_Lot_1[Type]),0)), "")</f>
        <v/>
      </c>
      <c r="G123" s="296" t="str">
        <f t="array" ref="G123">IF(TBL_SQ_Qs_Lot_1[[#This Row],[Type]]="Details", INDEX(TBL_008_Qs_Lot_1[Max score], MATCH(1, (TBL_SQ_Qs_Lot_1[[#This Row],[Q. No.]]=TBL_008_Qs_Lot_1[Q.])*("Question"=TBL_008_Qs_Lot_1[Type]),0)), "")</f>
        <v/>
      </c>
      <c r="H123" s="296" t="str">
        <f t="array" ref="H123">IF(TBL_SQ_Qs_Lot_1[[#This Row],[Type]]="Details", INDEX(TBL_008_Qs_Lot_1[No.subs], MATCH(1, (TBL_SQ_Qs_Lot_1[[#This Row],[Q. No.]]=TBL_008_Qs_Lot_1[Q.])*("Question"=TBL_008_Qs_Lot_1[Type]),0)), "")</f>
        <v/>
      </c>
      <c r="I123" s="296" t="str">
        <f t="array" ref="I12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3" s="296" t="str">
        <f t="array" ref="J12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3" s="296" t="str">
        <f t="array" ref="K123">IF(TBL_SQ_Qs_Lot_1[[#This Row],[Type]]="Details", INDEX(TBL_008_Qs_Lot_1[Weighting], MATCH(1, (TBL_SQ_Qs_Lot_1[[#This Row],[Q. No.]]=TBL_008_Qs_Lot_1[Q.])*("Question"=TBL_008_Qs_Lot_1[Type]),0)), "")</f>
        <v/>
      </c>
      <c r="L123" s="296" t="str">
        <f>IF($H$4="No", "Shade", IF(OR(TBL_SQ_Qs_Lot_1[[#This Row],[Question]]="Not used
", AND(TBL_SQ_Qs_Lot_1[[#This Row],[Type]]="Details", TBL_SQ_Qs_Lot_1[[#This Row],[Subs]]=0)), "Shade", ""))</f>
        <v>Shade</v>
      </c>
    </row>
    <row r="124" spans="1:12" ht="25" hidden="1" customHeight="1">
      <c r="A124" s="239" t="s">
        <v>699</v>
      </c>
      <c r="B124" s="84" t="str">
        <f t="array" ref="B12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4" s="234"/>
      <c r="D124" s="297" t="str">
        <f>IF(TBL_SQ_Qs_Lot_1[[#This Row],[Type]]="Question", IF(OR(TBL_SQ_Qs_Lot_1[[#This Row],[Shade?]]="Shade", TBL_SQ_Qs_Lot_1[[#This Row],[Question]]="Question not used
"), "", IF(TBL_SQ_Qs_Lot_1[[#This Row],[Response]]&lt;&gt;"", "Done", "Add")), "")</f>
        <v/>
      </c>
      <c r="E124" s="407" t="s">
        <v>779</v>
      </c>
      <c r="F124" s="296" t="str">
        <f t="array" ref="F124">IF(TBL_SQ_Qs_Lot_1[[#This Row],[Type]]="Details", INDEX(TBL_008_Qs_Lot_1[Word limit], MATCH(1, (TBL_SQ_Qs_Lot_1[[#This Row],[Q. No.]]=TBL_008_Qs_Lot_1[Q.])*("Question"=TBL_008_Qs_Lot_1[Type]),0)), "")</f>
        <v/>
      </c>
      <c r="G124" s="296" t="str">
        <f t="array" ref="G124">IF(TBL_SQ_Qs_Lot_1[[#This Row],[Type]]="Details", INDEX(TBL_008_Qs_Lot_1[Max score], MATCH(1, (TBL_SQ_Qs_Lot_1[[#This Row],[Q. No.]]=TBL_008_Qs_Lot_1[Q.])*("Question"=TBL_008_Qs_Lot_1[Type]),0)), "")</f>
        <v/>
      </c>
      <c r="H124" s="296" t="str">
        <f t="array" ref="H124">IF(TBL_SQ_Qs_Lot_1[[#This Row],[Type]]="Details", INDEX(TBL_008_Qs_Lot_1[No.subs], MATCH(1, (TBL_SQ_Qs_Lot_1[[#This Row],[Q. No.]]=TBL_008_Qs_Lot_1[Q.])*("Question"=TBL_008_Qs_Lot_1[Type]),0)), "")</f>
        <v/>
      </c>
      <c r="I124" s="296" t="str">
        <f t="array" ref="I12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4" s="296" t="str">
        <f t="array" ref="J12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4" s="296" t="str">
        <f t="array" ref="K124">IF(TBL_SQ_Qs_Lot_1[[#This Row],[Type]]="Details", INDEX(TBL_008_Qs_Lot_1[Weighting], MATCH(1, (TBL_SQ_Qs_Lot_1[[#This Row],[Q. No.]]=TBL_008_Qs_Lot_1[Q.])*("Question"=TBL_008_Qs_Lot_1[Type]),0)), "")</f>
        <v/>
      </c>
      <c r="L124" s="296" t="str">
        <f>IF($H$4="No", "Shade", IF(OR(TBL_SQ_Qs_Lot_1[[#This Row],[Question]]="Not used
", AND(TBL_SQ_Qs_Lot_1[[#This Row],[Type]]="Details", TBL_SQ_Qs_Lot_1[[#This Row],[Subs]]=0)), "Shade", ""))</f>
        <v>Shade</v>
      </c>
    </row>
    <row r="125" spans="1:12" ht="25" hidden="1" customHeight="1">
      <c r="A125" s="239" t="s">
        <v>700</v>
      </c>
      <c r="B125" s="84" t="str">
        <f t="array" ref="B12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5" s="234"/>
      <c r="D125" s="297" t="str">
        <f>IF(TBL_SQ_Qs_Lot_1[[#This Row],[Type]]="Question", IF(OR(TBL_SQ_Qs_Lot_1[[#This Row],[Shade?]]="Shade", TBL_SQ_Qs_Lot_1[[#This Row],[Question]]="Question not used
"), "", IF(TBL_SQ_Qs_Lot_1[[#This Row],[Response]]&lt;&gt;"", "Done", "Add")), "")</f>
        <v/>
      </c>
      <c r="E125" s="407" t="s">
        <v>779</v>
      </c>
      <c r="F125" s="296" t="str">
        <f t="array" ref="F125">IF(TBL_SQ_Qs_Lot_1[[#This Row],[Type]]="Details", INDEX(TBL_008_Qs_Lot_1[Word limit], MATCH(1, (TBL_SQ_Qs_Lot_1[[#This Row],[Q. No.]]=TBL_008_Qs_Lot_1[Q.])*("Question"=TBL_008_Qs_Lot_1[Type]),0)), "")</f>
        <v/>
      </c>
      <c r="G125" s="296" t="str">
        <f t="array" ref="G125">IF(TBL_SQ_Qs_Lot_1[[#This Row],[Type]]="Details", INDEX(TBL_008_Qs_Lot_1[Max score], MATCH(1, (TBL_SQ_Qs_Lot_1[[#This Row],[Q. No.]]=TBL_008_Qs_Lot_1[Q.])*("Question"=TBL_008_Qs_Lot_1[Type]),0)), "")</f>
        <v/>
      </c>
      <c r="H125" s="296" t="str">
        <f t="array" ref="H125">IF(TBL_SQ_Qs_Lot_1[[#This Row],[Type]]="Details", INDEX(TBL_008_Qs_Lot_1[No.subs], MATCH(1, (TBL_SQ_Qs_Lot_1[[#This Row],[Q. No.]]=TBL_008_Qs_Lot_1[Q.])*("Question"=TBL_008_Qs_Lot_1[Type]),0)), "")</f>
        <v/>
      </c>
      <c r="I125" s="296" t="str">
        <f t="array" ref="I12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5" s="296" t="str">
        <f t="array" ref="J12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5" s="296" t="str">
        <f t="array" ref="K125">IF(TBL_SQ_Qs_Lot_1[[#This Row],[Type]]="Details", INDEX(TBL_008_Qs_Lot_1[Weighting], MATCH(1, (TBL_SQ_Qs_Lot_1[[#This Row],[Q. No.]]=TBL_008_Qs_Lot_1[Q.])*("Question"=TBL_008_Qs_Lot_1[Type]),0)), "")</f>
        <v/>
      </c>
      <c r="L125" s="296" t="str">
        <f>IF($H$4="No", "Shade", IF(OR(TBL_SQ_Qs_Lot_1[[#This Row],[Question]]="Not used
", AND(TBL_SQ_Qs_Lot_1[[#This Row],[Type]]="Details", TBL_SQ_Qs_Lot_1[[#This Row],[Subs]]=0)), "Shade", ""))</f>
        <v>Shade</v>
      </c>
    </row>
    <row r="126" spans="1:12" ht="25" hidden="1" customHeight="1">
      <c r="A126" s="239" t="s">
        <v>701</v>
      </c>
      <c r="B126" s="84" t="str">
        <f t="array" ref="B12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6" s="234"/>
      <c r="D126" s="297" t="str">
        <f>IF(TBL_SQ_Qs_Lot_1[[#This Row],[Type]]="Question", IF(OR(TBL_SQ_Qs_Lot_1[[#This Row],[Shade?]]="Shade", TBL_SQ_Qs_Lot_1[[#This Row],[Question]]="Question not used
"), "", IF(TBL_SQ_Qs_Lot_1[[#This Row],[Response]]&lt;&gt;"", "Done", "Add")), "")</f>
        <v/>
      </c>
      <c r="E126" s="407" t="s">
        <v>779</v>
      </c>
      <c r="F126" s="296" t="str">
        <f t="array" ref="F126">IF(TBL_SQ_Qs_Lot_1[[#This Row],[Type]]="Details", INDEX(TBL_008_Qs_Lot_1[Word limit], MATCH(1, (TBL_SQ_Qs_Lot_1[[#This Row],[Q. No.]]=TBL_008_Qs_Lot_1[Q.])*("Question"=TBL_008_Qs_Lot_1[Type]),0)), "")</f>
        <v/>
      </c>
      <c r="G126" s="296" t="str">
        <f t="array" ref="G126">IF(TBL_SQ_Qs_Lot_1[[#This Row],[Type]]="Details", INDEX(TBL_008_Qs_Lot_1[Max score], MATCH(1, (TBL_SQ_Qs_Lot_1[[#This Row],[Q. No.]]=TBL_008_Qs_Lot_1[Q.])*("Question"=TBL_008_Qs_Lot_1[Type]),0)), "")</f>
        <v/>
      </c>
      <c r="H126" s="296" t="str">
        <f t="array" ref="H126">IF(TBL_SQ_Qs_Lot_1[[#This Row],[Type]]="Details", INDEX(TBL_008_Qs_Lot_1[No.subs], MATCH(1, (TBL_SQ_Qs_Lot_1[[#This Row],[Q. No.]]=TBL_008_Qs_Lot_1[Q.])*("Question"=TBL_008_Qs_Lot_1[Type]),0)), "")</f>
        <v/>
      </c>
      <c r="I126" s="296" t="str">
        <f t="array" ref="I12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6" s="296" t="str">
        <f t="array" ref="J12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6" s="296" t="str">
        <f t="array" ref="K126">IF(TBL_SQ_Qs_Lot_1[[#This Row],[Type]]="Details", INDEX(TBL_008_Qs_Lot_1[Weighting], MATCH(1, (TBL_SQ_Qs_Lot_1[[#This Row],[Q. No.]]=TBL_008_Qs_Lot_1[Q.])*("Question"=TBL_008_Qs_Lot_1[Type]),0)), "")</f>
        <v/>
      </c>
      <c r="L126" s="296" t="str">
        <f>IF($H$4="No", "Shade", IF(OR(TBL_SQ_Qs_Lot_1[[#This Row],[Question]]="Not used
", AND(TBL_SQ_Qs_Lot_1[[#This Row],[Type]]="Details", TBL_SQ_Qs_Lot_1[[#This Row],[Subs]]=0)), "Shade", ""))</f>
        <v>Shade</v>
      </c>
    </row>
    <row r="127" spans="1:12" ht="25" hidden="1" customHeight="1">
      <c r="A127" s="239" t="s">
        <v>702</v>
      </c>
      <c r="B127" s="84" t="str">
        <f t="array" ref="B12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7" s="234"/>
      <c r="D127" s="297" t="str">
        <f>IF(TBL_SQ_Qs_Lot_1[[#This Row],[Type]]="Question", IF(OR(TBL_SQ_Qs_Lot_1[[#This Row],[Shade?]]="Shade", TBL_SQ_Qs_Lot_1[[#This Row],[Question]]="Question not used
"), "", IF(TBL_SQ_Qs_Lot_1[[#This Row],[Response]]&lt;&gt;"", "Done", "Add")), "")</f>
        <v/>
      </c>
      <c r="E127" s="407" t="s">
        <v>779</v>
      </c>
      <c r="F127" s="296" t="str">
        <f t="array" ref="F127">IF(TBL_SQ_Qs_Lot_1[[#This Row],[Type]]="Details", INDEX(TBL_008_Qs_Lot_1[Word limit], MATCH(1, (TBL_SQ_Qs_Lot_1[[#This Row],[Q. No.]]=TBL_008_Qs_Lot_1[Q.])*("Question"=TBL_008_Qs_Lot_1[Type]),0)), "")</f>
        <v/>
      </c>
      <c r="G127" s="296" t="str">
        <f t="array" ref="G127">IF(TBL_SQ_Qs_Lot_1[[#This Row],[Type]]="Details", INDEX(TBL_008_Qs_Lot_1[Max score], MATCH(1, (TBL_SQ_Qs_Lot_1[[#This Row],[Q. No.]]=TBL_008_Qs_Lot_1[Q.])*("Question"=TBL_008_Qs_Lot_1[Type]),0)), "")</f>
        <v/>
      </c>
      <c r="H127" s="296" t="str">
        <f t="array" ref="H127">IF(TBL_SQ_Qs_Lot_1[[#This Row],[Type]]="Details", INDEX(TBL_008_Qs_Lot_1[No.subs], MATCH(1, (TBL_SQ_Qs_Lot_1[[#This Row],[Q. No.]]=TBL_008_Qs_Lot_1[Q.])*("Question"=TBL_008_Qs_Lot_1[Type]),0)), "")</f>
        <v/>
      </c>
      <c r="I127" s="296" t="str">
        <f t="array" ref="I12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7" s="296" t="str">
        <f t="array" ref="J12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7" s="296" t="str">
        <f t="array" ref="K127">IF(TBL_SQ_Qs_Lot_1[[#This Row],[Type]]="Details", INDEX(TBL_008_Qs_Lot_1[Weighting], MATCH(1, (TBL_SQ_Qs_Lot_1[[#This Row],[Q. No.]]=TBL_008_Qs_Lot_1[Q.])*("Question"=TBL_008_Qs_Lot_1[Type]),0)), "")</f>
        <v/>
      </c>
      <c r="L127" s="296" t="str">
        <f>IF($H$4="No", "Shade", IF(OR(TBL_SQ_Qs_Lot_1[[#This Row],[Question]]="Not used
", AND(TBL_SQ_Qs_Lot_1[[#This Row],[Type]]="Details", TBL_SQ_Qs_Lot_1[[#This Row],[Subs]]=0)), "Shade", ""))</f>
        <v>Shade</v>
      </c>
    </row>
    <row r="128" spans="1:12" ht="25" hidden="1" customHeight="1">
      <c r="A128" s="239" t="s">
        <v>703</v>
      </c>
      <c r="B128" s="84" t="str">
        <f t="array" ref="B12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8" s="234"/>
      <c r="D128" s="297" t="str">
        <f>IF(TBL_SQ_Qs_Lot_1[[#This Row],[Type]]="Question", IF(OR(TBL_SQ_Qs_Lot_1[[#This Row],[Shade?]]="Shade", TBL_SQ_Qs_Lot_1[[#This Row],[Question]]="Question not used
"), "", IF(TBL_SQ_Qs_Lot_1[[#This Row],[Response]]&lt;&gt;"", "Done", "Add")), "")</f>
        <v/>
      </c>
      <c r="E128" s="407" t="s">
        <v>779</v>
      </c>
      <c r="F128" s="296" t="str">
        <f t="array" ref="F128">IF(TBL_SQ_Qs_Lot_1[[#This Row],[Type]]="Details", INDEX(TBL_008_Qs_Lot_1[Word limit], MATCH(1, (TBL_SQ_Qs_Lot_1[[#This Row],[Q. No.]]=TBL_008_Qs_Lot_1[Q.])*("Question"=TBL_008_Qs_Lot_1[Type]),0)), "")</f>
        <v/>
      </c>
      <c r="G128" s="296" t="str">
        <f t="array" ref="G128">IF(TBL_SQ_Qs_Lot_1[[#This Row],[Type]]="Details", INDEX(TBL_008_Qs_Lot_1[Max score], MATCH(1, (TBL_SQ_Qs_Lot_1[[#This Row],[Q. No.]]=TBL_008_Qs_Lot_1[Q.])*("Question"=TBL_008_Qs_Lot_1[Type]),0)), "")</f>
        <v/>
      </c>
      <c r="H128" s="296" t="str">
        <f t="array" ref="H128">IF(TBL_SQ_Qs_Lot_1[[#This Row],[Type]]="Details", INDEX(TBL_008_Qs_Lot_1[No.subs], MATCH(1, (TBL_SQ_Qs_Lot_1[[#This Row],[Q. No.]]=TBL_008_Qs_Lot_1[Q.])*("Question"=TBL_008_Qs_Lot_1[Type]),0)), "")</f>
        <v/>
      </c>
      <c r="I128" s="296" t="str">
        <f t="array" ref="I12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8" s="296" t="str">
        <f t="array" ref="J12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8" s="296" t="str">
        <f t="array" ref="K128">IF(TBL_SQ_Qs_Lot_1[[#This Row],[Type]]="Details", INDEX(TBL_008_Qs_Lot_1[Weighting], MATCH(1, (TBL_SQ_Qs_Lot_1[[#This Row],[Q. No.]]=TBL_008_Qs_Lot_1[Q.])*("Question"=TBL_008_Qs_Lot_1[Type]),0)), "")</f>
        <v/>
      </c>
      <c r="L128" s="296" t="str">
        <f>IF($H$4="No", "Shade", IF(OR(TBL_SQ_Qs_Lot_1[[#This Row],[Question]]="Not used
", AND(TBL_SQ_Qs_Lot_1[[#This Row],[Type]]="Details", TBL_SQ_Qs_Lot_1[[#This Row],[Subs]]=0)), "Shade", ""))</f>
        <v>Shade</v>
      </c>
    </row>
    <row r="129" spans="1:12" ht="25" hidden="1" customHeight="1">
      <c r="A129" s="239" t="s">
        <v>704</v>
      </c>
      <c r="B129" s="84" t="str">
        <f t="array" ref="B12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29" s="234"/>
      <c r="D129" s="297" t="str">
        <f>IF(TBL_SQ_Qs_Lot_1[[#This Row],[Type]]="Question", IF(OR(TBL_SQ_Qs_Lot_1[[#This Row],[Shade?]]="Shade", TBL_SQ_Qs_Lot_1[[#This Row],[Question]]="Question not used
"), "", IF(TBL_SQ_Qs_Lot_1[[#This Row],[Response]]&lt;&gt;"", "Done", "Add")), "")</f>
        <v/>
      </c>
      <c r="E129" s="407" t="s">
        <v>779</v>
      </c>
      <c r="F129" s="296" t="str">
        <f t="array" ref="F129">IF(TBL_SQ_Qs_Lot_1[[#This Row],[Type]]="Details", INDEX(TBL_008_Qs_Lot_1[Word limit], MATCH(1, (TBL_SQ_Qs_Lot_1[[#This Row],[Q. No.]]=TBL_008_Qs_Lot_1[Q.])*("Question"=TBL_008_Qs_Lot_1[Type]),0)), "")</f>
        <v/>
      </c>
      <c r="G129" s="296" t="str">
        <f t="array" ref="G129">IF(TBL_SQ_Qs_Lot_1[[#This Row],[Type]]="Details", INDEX(TBL_008_Qs_Lot_1[Max score], MATCH(1, (TBL_SQ_Qs_Lot_1[[#This Row],[Q. No.]]=TBL_008_Qs_Lot_1[Q.])*("Question"=TBL_008_Qs_Lot_1[Type]),0)), "")</f>
        <v/>
      </c>
      <c r="H129" s="296" t="str">
        <f t="array" ref="H129">IF(TBL_SQ_Qs_Lot_1[[#This Row],[Type]]="Details", INDEX(TBL_008_Qs_Lot_1[No.subs], MATCH(1, (TBL_SQ_Qs_Lot_1[[#This Row],[Q. No.]]=TBL_008_Qs_Lot_1[Q.])*("Question"=TBL_008_Qs_Lot_1[Type]),0)), "")</f>
        <v/>
      </c>
      <c r="I129" s="296" t="str">
        <f t="array" ref="I12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29" s="296" t="str">
        <f t="array" ref="J12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29" s="296" t="str">
        <f t="array" ref="K129">IF(TBL_SQ_Qs_Lot_1[[#This Row],[Type]]="Details", INDEX(TBL_008_Qs_Lot_1[Weighting], MATCH(1, (TBL_SQ_Qs_Lot_1[[#This Row],[Q. No.]]=TBL_008_Qs_Lot_1[Q.])*("Question"=TBL_008_Qs_Lot_1[Type]),0)), "")</f>
        <v/>
      </c>
      <c r="L129" s="296" t="str">
        <f>IF($H$4="No", "Shade", IF(OR(TBL_SQ_Qs_Lot_1[[#This Row],[Question]]="Not used
", AND(TBL_SQ_Qs_Lot_1[[#This Row],[Type]]="Details", TBL_SQ_Qs_Lot_1[[#This Row],[Subs]]=0)), "Shade", ""))</f>
        <v>Shade</v>
      </c>
    </row>
    <row r="130" spans="1:12" ht="25" hidden="1" customHeight="1">
      <c r="A130" s="239" t="s">
        <v>705</v>
      </c>
      <c r="B130" s="84" t="str">
        <f t="array" ref="B13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0" s="234"/>
      <c r="D130" s="297" t="str">
        <f>IF(TBL_SQ_Qs_Lot_1[[#This Row],[Type]]="Question", IF(OR(TBL_SQ_Qs_Lot_1[[#This Row],[Shade?]]="Shade", TBL_SQ_Qs_Lot_1[[#This Row],[Question]]="Question not used
"), "", IF(TBL_SQ_Qs_Lot_1[[#This Row],[Response]]&lt;&gt;"", "Done", "Add")), "")</f>
        <v/>
      </c>
      <c r="E130" s="407" t="s">
        <v>779</v>
      </c>
      <c r="F130" s="296" t="str">
        <f t="array" ref="F130">IF(TBL_SQ_Qs_Lot_1[[#This Row],[Type]]="Details", INDEX(TBL_008_Qs_Lot_1[Word limit], MATCH(1, (TBL_SQ_Qs_Lot_1[[#This Row],[Q. No.]]=TBL_008_Qs_Lot_1[Q.])*("Question"=TBL_008_Qs_Lot_1[Type]),0)), "")</f>
        <v/>
      </c>
      <c r="G130" s="296" t="str">
        <f t="array" ref="G130">IF(TBL_SQ_Qs_Lot_1[[#This Row],[Type]]="Details", INDEX(TBL_008_Qs_Lot_1[Max score], MATCH(1, (TBL_SQ_Qs_Lot_1[[#This Row],[Q. No.]]=TBL_008_Qs_Lot_1[Q.])*("Question"=TBL_008_Qs_Lot_1[Type]),0)), "")</f>
        <v/>
      </c>
      <c r="H130" s="296" t="str">
        <f t="array" ref="H130">IF(TBL_SQ_Qs_Lot_1[[#This Row],[Type]]="Details", INDEX(TBL_008_Qs_Lot_1[No.subs], MATCH(1, (TBL_SQ_Qs_Lot_1[[#This Row],[Q. No.]]=TBL_008_Qs_Lot_1[Q.])*("Question"=TBL_008_Qs_Lot_1[Type]),0)), "")</f>
        <v/>
      </c>
      <c r="I130" s="296" t="str">
        <f t="array" ref="I13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0" s="296" t="str">
        <f t="array" ref="J13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0" s="296" t="str">
        <f t="array" ref="K130">IF(TBL_SQ_Qs_Lot_1[[#This Row],[Type]]="Details", INDEX(TBL_008_Qs_Lot_1[Weighting], MATCH(1, (TBL_SQ_Qs_Lot_1[[#This Row],[Q. No.]]=TBL_008_Qs_Lot_1[Q.])*("Question"=TBL_008_Qs_Lot_1[Type]),0)), "")</f>
        <v/>
      </c>
      <c r="L130" s="296" t="str">
        <f>IF($H$4="No", "Shade", IF(OR(TBL_SQ_Qs_Lot_1[[#This Row],[Question]]="Not used
", AND(TBL_SQ_Qs_Lot_1[[#This Row],[Type]]="Details", TBL_SQ_Qs_Lot_1[[#This Row],[Subs]]=0)), "Shade", ""))</f>
        <v>Shade</v>
      </c>
    </row>
    <row r="131" spans="1:12" ht="25" hidden="1" customHeight="1">
      <c r="A131" s="239" t="s">
        <v>706</v>
      </c>
      <c r="B131" s="84" t="str">
        <f t="array" ref="B13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1" s="234"/>
      <c r="D131" s="297" t="str">
        <f>IF(TBL_SQ_Qs_Lot_1[[#This Row],[Type]]="Question", IF(OR(TBL_SQ_Qs_Lot_1[[#This Row],[Shade?]]="Shade", TBL_SQ_Qs_Lot_1[[#This Row],[Question]]="Question not used
"), "", IF(TBL_SQ_Qs_Lot_1[[#This Row],[Response]]&lt;&gt;"", "Done", "Add")), "")</f>
        <v/>
      </c>
      <c r="E131" s="407" t="s">
        <v>779</v>
      </c>
      <c r="F131" s="296" t="str">
        <f t="array" ref="F131">IF(TBL_SQ_Qs_Lot_1[[#This Row],[Type]]="Details", INDEX(TBL_008_Qs_Lot_1[Word limit], MATCH(1, (TBL_SQ_Qs_Lot_1[[#This Row],[Q. No.]]=TBL_008_Qs_Lot_1[Q.])*("Question"=TBL_008_Qs_Lot_1[Type]),0)), "")</f>
        <v/>
      </c>
      <c r="G131" s="296" t="str">
        <f t="array" ref="G131">IF(TBL_SQ_Qs_Lot_1[[#This Row],[Type]]="Details", INDEX(TBL_008_Qs_Lot_1[Max score], MATCH(1, (TBL_SQ_Qs_Lot_1[[#This Row],[Q. No.]]=TBL_008_Qs_Lot_1[Q.])*("Question"=TBL_008_Qs_Lot_1[Type]),0)), "")</f>
        <v/>
      </c>
      <c r="H131" s="296" t="str">
        <f t="array" ref="H131">IF(TBL_SQ_Qs_Lot_1[[#This Row],[Type]]="Details", INDEX(TBL_008_Qs_Lot_1[No.subs], MATCH(1, (TBL_SQ_Qs_Lot_1[[#This Row],[Q. No.]]=TBL_008_Qs_Lot_1[Q.])*("Question"=TBL_008_Qs_Lot_1[Type]),0)), "")</f>
        <v/>
      </c>
      <c r="I131" s="296" t="str">
        <f t="array" ref="I13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1" s="296" t="str">
        <f t="array" ref="J13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1" s="296" t="str">
        <f t="array" ref="K131">IF(TBL_SQ_Qs_Lot_1[[#This Row],[Type]]="Details", INDEX(TBL_008_Qs_Lot_1[Weighting], MATCH(1, (TBL_SQ_Qs_Lot_1[[#This Row],[Q. No.]]=TBL_008_Qs_Lot_1[Q.])*("Question"=TBL_008_Qs_Lot_1[Type]),0)), "")</f>
        <v/>
      </c>
      <c r="L131" s="296" t="str">
        <f>IF($H$4="No", "Shade", IF(OR(TBL_SQ_Qs_Lot_1[[#This Row],[Question]]="Not used
", AND(TBL_SQ_Qs_Lot_1[[#This Row],[Type]]="Details", TBL_SQ_Qs_Lot_1[[#This Row],[Subs]]=0)), "Shade", ""))</f>
        <v>Shade</v>
      </c>
    </row>
    <row r="132" spans="1:12" ht="25" hidden="1" customHeight="1">
      <c r="A132" s="232" t="s">
        <v>707</v>
      </c>
      <c r="B132" s="86" t="str">
        <f t="array" ref="B13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2" s="235"/>
      <c r="D132" s="297" t="str">
        <f>IF(TBL_SQ_Qs_Lot_1[[#This Row],[Type]]="Question", IF(OR(TBL_SQ_Qs_Lot_1[[#This Row],[Shade?]]="Shade", TBL_SQ_Qs_Lot_1[[#This Row],[Question]]="Question not used
"), "", IF(TBL_SQ_Qs_Lot_1[[#This Row],[Response]]&lt;&gt;"", "Done", "Add")), "")</f>
        <v/>
      </c>
      <c r="E132" s="407" t="s">
        <v>779</v>
      </c>
      <c r="F132" s="296" t="str">
        <f t="array" ref="F132">IF(TBL_SQ_Qs_Lot_1[[#This Row],[Type]]="Details", INDEX(TBL_008_Qs_Lot_1[Word limit], MATCH(1, (TBL_SQ_Qs_Lot_1[[#This Row],[Q. No.]]=TBL_008_Qs_Lot_1[Q.])*("Question"=TBL_008_Qs_Lot_1[Type]),0)), "")</f>
        <v/>
      </c>
      <c r="G132" s="296" t="str">
        <f t="array" ref="G132">IF(TBL_SQ_Qs_Lot_1[[#This Row],[Type]]="Details", INDEX(TBL_008_Qs_Lot_1[Max score], MATCH(1, (TBL_SQ_Qs_Lot_1[[#This Row],[Q. No.]]=TBL_008_Qs_Lot_1[Q.])*("Question"=TBL_008_Qs_Lot_1[Type]),0)), "")</f>
        <v/>
      </c>
      <c r="H132" s="296" t="str">
        <f t="array" ref="H132">IF(TBL_SQ_Qs_Lot_1[[#This Row],[Type]]="Details", INDEX(TBL_008_Qs_Lot_1[No.subs], MATCH(1, (TBL_SQ_Qs_Lot_1[[#This Row],[Q. No.]]=TBL_008_Qs_Lot_1[Q.])*("Question"=TBL_008_Qs_Lot_1[Type]),0)), "")</f>
        <v/>
      </c>
      <c r="I132" s="296" t="str">
        <f t="array" ref="I13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2" s="296" t="str">
        <f t="array" ref="J13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2" s="296" t="str">
        <f t="array" ref="K132">IF(TBL_SQ_Qs_Lot_1[[#This Row],[Type]]="Details", INDEX(TBL_008_Qs_Lot_1[Weighting], MATCH(1, (TBL_SQ_Qs_Lot_1[[#This Row],[Q. No.]]=TBL_008_Qs_Lot_1[Q.])*("Question"=TBL_008_Qs_Lot_1[Type]),0)), "")</f>
        <v/>
      </c>
      <c r="L132" s="296" t="str">
        <f>IF($H$4="No", "Shade", IF(OR(TBL_SQ_Qs_Lot_1[[#This Row],[Question]]="Not used
", AND(TBL_SQ_Qs_Lot_1[[#This Row],[Type]]="Details", TBL_SQ_Qs_Lot_1[[#This Row],[Subs]]=0)), "Shade", ""))</f>
        <v>Shade</v>
      </c>
    </row>
    <row r="133" spans="1:12" ht="25" hidden="1" customHeight="1">
      <c r="A133" s="237" t="s">
        <v>708</v>
      </c>
      <c r="B133" s="219" t="str">
        <f t="array" ref="B13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3" s="297"/>
      <c r="D133" s="297" t="str">
        <f>IF(TBL_SQ_Qs_Lot_1[[#This Row],[Type]]="Question", IF(OR(TBL_SQ_Qs_Lot_1[[#This Row],[Shade?]]="Shade", TBL_SQ_Qs_Lot_1[[#This Row],[Question]]="Question not used
"), "", IF(TBL_SQ_Qs_Lot_1[[#This Row],[Response]]&lt;&gt;"", "Done", "Add")), "")</f>
        <v/>
      </c>
      <c r="E133" s="407" t="s">
        <v>209</v>
      </c>
      <c r="F133" s="296" t="str">
        <f t="array" ref="F133">IF(TBL_SQ_Qs_Lot_1[[#This Row],[Type]]="Details", INDEX(TBL_008_Qs_Lot_1[Word limit], MATCH(1, (TBL_SQ_Qs_Lot_1[[#This Row],[Q. No.]]=TBL_008_Qs_Lot_1[Q.])*("Question"=TBL_008_Qs_Lot_1[Type]),0)), "")</f>
        <v/>
      </c>
      <c r="G133" s="296" t="str">
        <f t="array" ref="G133">IF(TBL_SQ_Qs_Lot_1[[#This Row],[Type]]="Details", INDEX(TBL_008_Qs_Lot_1[Max score], MATCH(1, (TBL_SQ_Qs_Lot_1[[#This Row],[Q. No.]]=TBL_008_Qs_Lot_1[Q.])*("Question"=TBL_008_Qs_Lot_1[Type]),0)), "")</f>
        <v/>
      </c>
      <c r="H133" s="296" t="str">
        <f t="array" ref="H133">IF(TBL_SQ_Qs_Lot_1[[#This Row],[Type]]="Details", INDEX(TBL_008_Qs_Lot_1[No.subs], MATCH(1, (TBL_SQ_Qs_Lot_1[[#This Row],[Q. No.]]=TBL_008_Qs_Lot_1[Q.])*("Question"=TBL_008_Qs_Lot_1[Type]),0)), "")</f>
        <v/>
      </c>
      <c r="I133" s="296" t="str">
        <f t="array" ref="I13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3" s="296" t="str">
        <f t="array" ref="J13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3" s="296" t="str">
        <f t="array" ref="K133">IF(TBL_SQ_Qs_Lot_1[[#This Row],[Type]]="Details", INDEX(TBL_008_Qs_Lot_1[Weighting], MATCH(1, (TBL_SQ_Qs_Lot_1[[#This Row],[Q. No.]]=TBL_008_Qs_Lot_1[Q.])*("Question"=TBL_008_Qs_Lot_1[Type]),0)), "")</f>
        <v/>
      </c>
      <c r="L133" s="296" t="str">
        <f>IF($H$4="No", "Shade", IF(OR(TBL_SQ_Qs_Lot_1[[#This Row],[Question]]="Not used
", AND(TBL_SQ_Qs_Lot_1[[#This Row],[Type]]="Details", TBL_SQ_Qs_Lot_1[[#This Row],[Subs]]=0)), "Shade", ""))</f>
        <v>Shade</v>
      </c>
    </row>
    <row r="134" spans="1:12" ht="25" hidden="1" customHeight="1">
      <c r="A134" s="238" t="s">
        <v>708</v>
      </c>
      <c r="B134" s="220" t="str">
        <f t="array" ref="B13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Q6.10 should have a word count of not more than 0 words.
The maximum score for this question is 0.00 marks (0.00 elements x 5.00 marks)
</v>
      </c>
      <c r="C134" s="233"/>
      <c r="D134" s="297" t="str">
        <f>IF(TBL_SQ_Qs_Lot_1[[#This Row],[Type]]="Question", IF(OR(TBL_SQ_Qs_Lot_1[[#This Row],[Shade?]]="Shade", TBL_SQ_Qs_Lot_1[[#This Row],[Question]]="Question not used
"), "", IF(TBL_SQ_Qs_Lot_1[[#This Row],[Response]]&lt;&gt;"", "Done", "Add")), "")</f>
        <v/>
      </c>
      <c r="E134" s="407" t="s">
        <v>798</v>
      </c>
      <c r="F134" s="296">
        <f t="array" ref="F134">IF(TBL_SQ_Qs_Lot_1[[#This Row],[Type]]="Details", INDEX(TBL_008_Qs_Lot_1[Word limit], MATCH(1, (TBL_SQ_Qs_Lot_1[[#This Row],[Q. No.]]=TBL_008_Qs_Lot_1[Q.])*("Question"=TBL_008_Qs_Lot_1[Type]),0)), "")</f>
        <v>0</v>
      </c>
      <c r="G134" s="296">
        <f t="array" ref="G134">IF(TBL_SQ_Qs_Lot_1[[#This Row],[Type]]="Details", INDEX(TBL_008_Qs_Lot_1[Max score], MATCH(1, (TBL_SQ_Qs_Lot_1[[#This Row],[Q. No.]]=TBL_008_Qs_Lot_1[Q.])*("Question"=TBL_008_Qs_Lot_1[Type]),0)), "")</f>
        <v>0</v>
      </c>
      <c r="H134" s="296">
        <f t="array" ref="H134">IF(TBL_SQ_Qs_Lot_1[[#This Row],[Type]]="Details", INDEX(TBL_008_Qs_Lot_1[No.subs], MATCH(1, (TBL_SQ_Qs_Lot_1[[#This Row],[Q. No.]]=TBL_008_Qs_Lot_1[Q.])*("Question"=TBL_008_Qs_Lot_1[Type]),0)), "")</f>
        <v>0</v>
      </c>
      <c r="I134" s="296" t="str">
        <f t="array" ref="I13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4" s="296" t="str">
        <f t="array" ref="J13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4" s="296" t="str">
        <f t="array" ref="K134">IF(TBL_SQ_Qs_Lot_1[[#This Row],[Type]]="Details", INDEX(TBL_008_Qs_Lot_1[Weighting], MATCH(1, (TBL_SQ_Qs_Lot_1[[#This Row],[Q. No.]]=TBL_008_Qs_Lot_1[Q.])*("Question"=TBL_008_Qs_Lot_1[Type]),0)), "")</f>
        <v>N/A</v>
      </c>
      <c r="L134" s="296" t="str">
        <f>IF($H$4="No", "Shade", IF(OR(TBL_SQ_Qs_Lot_1[[#This Row],[Question]]="Not used
", AND(TBL_SQ_Qs_Lot_1[[#This Row],[Type]]="Details", TBL_SQ_Qs_Lot_1[[#This Row],[Subs]]=0)), "Shade", ""))</f>
        <v>Shade</v>
      </c>
    </row>
    <row r="135" spans="1:12" ht="25" hidden="1" customHeight="1">
      <c r="A135" s="239" t="s">
        <v>709</v>
      </c>
      <c r="B135" s="84" t="str">
        <f t="array" ref="B13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5" s="234"/>
      <c r="D135" s="297" t="str">
        <f>IF(TBL_SQ_Qs_Lot_1[[#This Row],[Type]]="Question", IF(OR(TBL_SQ_Qs_Lot_1[[#This Row],[Shade?]]="Shade", TBL_SQ_Qs_Lot_1[[#This Row],[Question]]="Question not used
"), "", IF(TBL_SQ_Qs_Lot_1[[#This Row],[Response]]&lt;&gt;"", "Done", "Add")), "")</f>
        <v/>
      </c>
      <c r="E135" s="407" t="s">
        <v>779</v>
      </c>
      <c r="F135" s="296" t="str">
        <f t="array" ref="F135">IF(TBL_SQ_Qs_Lot_1[[#This Row],[Type]]="Details", INDEX(TBL_008_Qs_Lot_1[Word limit], MATCH(1, (TBL_SQ_Qs_Lot_1[[#This Row],[Q. No.]]=TBL_008_Qs_Lot_1[Q.])*("Question"=TBL_008_Qs_Lot_1[Type]),0)), "")</f>
        <v/>
      </c>
      <c r="G135" s="296" t="str">
        <f t="array" ref="G135">IF(TBL_SQ_Qs_Lot_1[[#This Row],[Type]]="Details", INDEX(TBL_008_Qs_Lot_1[Max score], MATCH(1, (TBL_SQ_Qs_Lot_1[[#This Row],[Q. No.]]=TBL_008_Qs_Lot_1[Q.])*("Question"=TBL_008_Qs_Lot_1[Type]),0)), "")</f>
        <v/>
      </c>
      <c r="H135" s="296" t="str">
        <f t="array" ref="H135">IF(TBL_SQ_Qs_Lot_1[[#This Row],[Type]]="Details", INDEX(TBL_008_Qs_Lot_1[No.subs], MATCH(1, (TBL_SQ_Qs_Lot_1[[#This Row],[Q. No.]]=TBL_008_Qs_Lot_1[Q.])*("Question"=TBL_008_Qs_Lot_1[Type]),0)), "")</f>
        <v/>
      </c>
      <c r="I135" s="296" t="str">
        <f t="array" ref="I13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5" s="296" t="str">
        <f t="array" ref="J13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5" s="296" t="str">
        <f t="array" ref="K135">IF(TBL_SQ_Qs_Lot_1[[#This Row],[Type]]="Details", INDEX(TBL_008_Qs_Lot_1[Weighting], MATCH(1, (TBL_SQ_Qs_Lot_1[[#This Row],[Q. No.]]=TBL_008_Qs_Lot_1[Q.])*("Question"=TBL_008_Qs_Lot_1[Type]),0)), "")</f>
        <v/>
      </c>
      <c r="L135" s="296" t="str">
        <f>IF($H$4="No", "Shade", IF(OR(TBL_SQ_Qs_Lot_1[[#This Row],[Question]]="Not used
", AND(TBL_SQ_Qs_Lot_1[[#This Row],[Type]]="Details", TBL_SQ_Qs_Lot_1[[#This Row],[Subs]]=0)), "Shade", ""))</f>
        <v>Shade</v>
      </c>
    </row>
    <row r="136" spans="1:12" ht="25" hidden="1" customHeight="1">
      <c r="A136" s="239" t="s">
        <v>710</v>
      </c>
      <c r="B136" s="84" t="str">
        <f t="array" ref="B13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6" s="234"/>
      <c r="D136" s="297" t="str">
        <f>IF(TBL_SQ_Qs_Lot_1[[#This Row],[Type]]="Question", IF(OR(TBL_SQ_Qs_Lot_1[[#This Row],[Shade?]]="Shade", TBL_SQ_Qs_Lot_1[[#This Row],[Question]]="Question not used
"), "", IF(TBL_SQ_Qs_Lot_1[[#This Row],[Response]]&lt;&gt;"", "Done", "Add")), "")</f>
        <v/>
      </c>
      <c r="E136" s="407" t="s">
        <v>779</v>
      </c>
      <c r="F136" s="296" t="str">
        <f t="array" ref="F136">IF(TBL_SQ_Qs_Lot_1[[#This Row],[Type]]="Details", INDEX(TBL_008_Qs_Lot_1[Word limit], MATCH(1, (TBL_SQ_Qs_Lot_1[[#This Row],[Q. No.]]=TBL_008_Qs_Lot_1[Q.])*("Question"=TBL_008_Qs_Lot_1[Type]),0)), "")</f>
        <v/>
      </c>
      <c r="G136" s="296" t="str">
        <f t="array" ref="G136">IF(TBL_SQ_Qs_Lot_1[[#This Row],[Type]]="Details", INDEX(TBL_008_Qs_Lot_1[Max score], MATCH(1, (TBL_SQ_Qs_Lot_1[[#This Row],[Q. No.]]=TBL_008_Qs_Lot_1[Q.])*("Question"=TBL_008_Qs_Lot_1[Type]),0)), "")</f>
        <v/>
      </c>
      <c r="H136" s="296" t="str">
        <f t="array" ref="H136">IF(TBL_SQ_Qs_Lot_1[[#This Row],[Type]]="Details", INDEX(TBL_008_Qs_Lot_1[No.subs], MATCH(1, (TBL_SQ_Qs_Lot_1[[#This Row],[Q. No.]]=TBL_008_Qs_Lot_1[Q.])*("Question"=TBL_008_Qs_Lot_1[Type]),0)), "")</f>
        <v/>
      </c>
      <c r="I136" s="296" t="str">
        <f t="array" ref="I13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6" s="296" t="str">
        <f t="array" ref="J13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6" s="296" t="str">
        <f t="array" ref="K136">IF(TBL_SQ_Qs_Lot_1[[#This Row],[Type]]="Details", INDEX(TBL_008_Qs_Lot_1[Weighting], MATCH(1, (TBL_SQ_Qs_Lot_1[[#This Row],[Q. No.]]=TBL_008_Qs_Lot_1[Q.])*("Question"=TBL_008_Qs_Lot_1[Type]),0)), "")</f>
        <v/>
      </c>
      <c r="L136" s="296" t="str">
        <f>IF($H$4="No", "Shade", IF(OR(TBL_SQ_Qs_Lot_1[[#This Row],[Question]]="Not used
", AND(TBL_SQ_Qs_Lot_1[[#This Row],[Type]]="Details", TBL_SQ_Qs_Lot_1[[#This Row],[Subs]]=0)), "Shade", ""))</f>
        <v>Shade</v>
      </c>
    </row>
    <row r="137" spans="1:12" ht="25" hidden="1" customHeight="1">
      <c r="A137" s="239" t="s">
        <v>711</v>
      </c>
      <c r="B137" s="84" t="str">
        <f t="array" ref="B13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7" s="234"/>
      <c r="D137" s="297" t="str">
        <f>IF(TBL_SQ_Qs_Lot_1[[#This Row],[Type]]="Question", IF(OR(TBL_SQ_Qs_Lot_1[[#This Row],[Shade?]]="Shade", TBL_SQ_Qs_Lot_1[[#This Row],[Question]]="Question not used
"), "", IF(TBL_SQ_Qs_Lot_1[[#This Row],[Response]]&lt;&gt;"", "Done", "Add")), "")</f>
        <v/>
      </c>
      <c r="E137" s="407" t="s">
        <v>779</v>
      </c>
      <c r="F137" s="296" t="str">
        <f t="array" ref="F137">IF(TBL_SQ_Qs_Lot_1[[#This Row],[Type]]="Details", INDEX(TBL_008_Qs_Lot_1[Word limit], MATCH(1, (TBL_SQ_Qs_Lot_1[[#This Row],[Q. No.]]=TBL_008_Qs_Lot_1[Q.])*("Question"=TBL_008_Qs_Lot_1[Type]),0)), "")</f>
        <v/>
      </c>
      <c r="G137" s="296" t="str">
        <f t="array" ref="G137">IF(TBL_SQ_Qs_Lot_1[[#This Row],[Type]]="Details", INDEX(TBL_008_Qs_Lot_1[Max score], MATCH(1, (TBL_SQ_Qs_Lot_1[[#This Row],[Q. No.]]=TBL_008_Qs_Lot_1[Q.])*("Question"=TBL_008_Qs_Lot_1[Type]),0)), "")</f>
        <v/>
      </c>
      <c r="H137" s="296" t="str">
        <f t="array" ref="H137">IF(TBL_SQ_Qs_Lot_1[[#This Row],[Type]]="Details", INDEX(TBL_008_Qs_Lot_1[No.subs], MATCH(1, (TBL_SQ_Qs_Lot_1[[#This Row],[Q. No.]]=TBL_008_Qs_Lot_1[Q.])*("Question"=TBL_008_Qs_Lot_1[Type]),0)), "")</f>
        <v/>
      </c>
      <c r="I137" s="296" t="str">
        <f t="array" ref="I13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7" s="296" t="str">
        <f t="array" ref="J13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7" s="296" t="str">
        <f t="array" ref="K137">IF(TBL_SQ_Qs_Lot_1[[#This Row],[Type]]="Details", INDEX(TBL_008_Qs_Lot_1[Weighting], MATCH(1, (TBL_SQ_Qs_Lot_1[[#This Row],[Q. No.]]=TBL_008_Qs_Lot_1[Q.])*("Question"=TBL_008_Qs_Lot_1[Type]),0)), "")</f>
        <v/>
      </c>
      <c r="L137" s="296" t="str">
        <f>IF($H$4="No", "Shade", IF(OR(TBL_SQ_Qs_Lot_1[[#This Row],[Question]]="Not used
", AND(TBL_SQ_Qs_Lot_1[[#This Row],[Type]]="Details", TBL_SQ_Qs_Lot_1[[#This Row],[Subs]]=0)), "Shade", ""))</f>
        <v>Shade</v>
      </c>
    </row>
    <row r="138" spans="1:12" ht="25" hidden="1" customHeight="1">
      <c r="A138" s="239" t="s">
        <v>712</v>
      </c>
      <c r="B138" s="84" t="str">
        <f t="array" ref="B13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8" s="234"/>
      <c r="D138" s="297" t="str">
        <f>IF(TBL_SQ_Qs_Lot_1[[#This Row],[Type]]="Question", IF(OR(TBL_SQ_Qs_Lot_1[[#This Row],[Shade?]]="Shade", TBL_SQ_Qs_Lot_1[[#This Row],[Question]]="Question not used
"), "", IF(TBL_SQ_Qs_Lot_1[[#This Row],[Response]]&lt;&gt;"", "Done", "Add")), "")</f>
        <v/>
      </c>
      <c r="E138" s="407" t="s">
        <v>779</v>
      </c>
      <c r="F138" s="296" t="str">
        <f t="array" ref="F138">IF(TBL_SQ_Qs_Lot_1[[#This Row],[Type]]="Details", INDEX(TBL_008_Qs_Lot_1[Word limit], MATCH(1, (TBL_SQ_Qs_Lot_1[[#This Row],[Q. No.]]=TBL_008_Qs_Lot_1[Q.])*("Question"=TBL_008_Qs_Lot_1[Type]),0)), "")</f>
        <v/>
      </c>
      <c r="G138" s="296" t="str">
        <f t="array" ref="G138">IF(TBL_SQ_Qs_Lot_1[[#This Row],[Type]]="Details", INDEX(TBL_008_Qs_Lot_1[Max score], MATCH(1, (TBL_SQ_Qs_Lot_1[[#This Row],[Q. No.]]=TBL_008_Qs_Lot_1[Q.])*("Question"=TBL_008_Qs_Lot_1[Type]),0)), "")</f>
        <v/>
      </c>
      <c r="H138" s="296" t="str">
        <f t="array" ref="H138">IF(TBL_SQ_Qs_Lot_1[[#This Row],[Type]]="Details", INDEX(TBL_008_Qs_Lot_1[No.subs], MATCH(1, (TBL_SQ_Qs_Lot_1[[#This Row],[Q. No.]]=TBL_008_Qs_Lot_1[Q.])*("Question"=TBL_008_Qs_Lot_1[Type]),0)), "")</f>
        <v/>
      </c>
      <c r="I138" s="296" t="str">
        <f t="array" ref="I13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8" s="296" t="str">
        <f t="array" ref="J13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8" s="296" t="str">
        <f t="array" ref="K138">IF(TBL_SQ_Qs_Lot_1[[#This Row],[Type]]="Details", INDEX(TBL_008_Qs_Lot_1[Weighting], MATCH(1, (TBL_SQ_Qs_Lot_1[[#This Row],[Q. No.]]=TBL_008_Qs_Lot_1[Q.])*("Question"=TBL_008_Qs_Lot_1[Type]),0)), "")</f>
        <v/>
      </c>
      <c r="L138" s="296" t="str">
        <f>IF($H$4="No", "Shade", IF(OR(TBL_SQ_Qs_Lot_1[[#This Row],[Question]]="Not used
", AND(TBL_SQ_Qs_Lot_1[[#This Row],[Type]]="Details", TBL_SQ_Qs_Lot_1[[#This Row],[Subs]]=0)), "Shade", ""))</f>
        <v>Shade</v>
      </c>
    </row>
    <row r="139" spans="1:12" ht="25" hidden="1" customHeight="1">
      <c r="A139" s="239" t="s">
        <v>713</v>
      </c>
      <c r="B139" s="84" t="str">
        <f t="array" ref="B13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39" s="234"/>
      <c r="D139" s="297" t="str">
        <f>IF(TBL_SQ_Qs_Lot_1[[#This Row],[Type]]="Question", IF(OR(TBL_SQ_Qs_Lot_1[[#This Row],[Shade?]]="Shade", TBL_SQ_Qs_Lot_1[[#This Row],[Question]]="Question not used
"), "", IF(TBL_SQ_Qs_Lot_1[[#This Row],[Response]]&lt;&gt;"", "Done", "Add")), "")</f>
        <v/>
      </c>
      <c r="E139" s="407" t="s">
        <v>779</v>
      </c>
      <c r="F139" s="296" t="str">
        <f t="array" ref="F139">IF(TBL_SQ_Qs_Lot_1[[#This Row],[Type]]="Details", INDEX(TBL_008_Qs_Lot_1[Word limit], MATCH(1, (TBL_SQ_Qs_Lot_1[[#This Row],[Q. No.]]=TBL_008_Qs_Lot_1[Q.])*("Question"=TBL_008_Qs_Lot_1[Type]),0)), "")</f>
        <v/>
      </c>
      <c r="G139" s="296" t="str">
        <f t="array" ref="G139">IF(TBL_SQ_Qs_Lot_1[[#This Row],[Type]]="Details", INDEX(TBL_008_Qs_Lot_1[Max score], MATCH(1, (TBL_SQ_Qs_Lot_1[[#This Row],[Q. No.]]=TBL_008_Qs_Lot_1[Q.])*("Question"=TBL_008_Qs_Lot_1[Type]),0)), "")</f>
        <v/>
      </c>
      <c r="H139" s="296" t="str">
        <f t="array" ref="H139">IF(TBL_SQ_Qs_Lot_1[[#This Row],[Type]]="Details", INDEX(TBL_008_Qs_Lot_1[No.subs], MATCH(1, (TBL_SQ_Qs_Lot_1[[#This Row],[Q. No.]]=TBL_008_Qs_Lot_1[Q.])*("Question"=TBL_008_Qs_Lot_1[Type]),0)), "")</f>
        <v/>
      </c>
      <c r="I139" s="296" t="str">
        <f t="array" ref="I13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39" s="296" t="str">
        <f t="array" ref="J13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39" s="296" t="str">
        <f t="array" ref="K139">IF(TBL_SQ_Qs_Lot_1[[#This Row],[Type]]="Details", INDEX(TBL_008_Qs_Lot_1[Weighting], MATCH(1, (TBL_SQ_Qs_Lot_1[[#This Row],[Q. No.]]=TBL_008_Qs_Lot_1[Q.])*("Question"=TBL_008_Qs_Lot_1[Type]),0)), "")</f>
        <v/>
      </c>
      <c r="L139" s="296" t="str">
        <f>IF($H$4="No", "Shade", IF(OR(TBL_SQ_Qs_Lot_1[[#This Row],[Question]]="Not used
", AND(TBL_SQ_Qs_Lot_1[[#This Row],[Type]]="Details", TBL_SQ_Qs_Lot_1[[#This Row],[Subs]]=0)), "Shade", ""))</f>
        <v>Shade</v>
      </c>
    </row>
    <row r="140" spans="1:12" ht="25" hidden="1" customHeight="1">
      <c r="A140" s="239" t="s">
        <v>714</v>
      </c>
      <c r="B140" s="84" t="str">
        <f t="array" ref="B14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0" s="234"/>
      <c r="D140" s="297" t="str">
        <f>IF(TBL_SQ_Qs_Lot_1[[#This Row],[Type]]="Question", IF(OR(TBL_SQ_Qs_Lot_1[[#This Row],[Shade?]]="Shade", TBL_SQ_Qs_Lot_1[[#This Row],[Question]]="Question not used
"), "", IF(TBL_SQ_Qs_Lot_1[[#This Row],[Response]]&lt;&gt;"", "Done", "Add")), "")</f>
        <v/>
      </c>
      <c r="E140" s="407" t="s">
        <v>779</v>
      </c>
      <c r="F140" s="296" t="str">
        <f t="array" ref="F140">IF(TBL_SQ_Qs_Lot_1[[#This Row],[Type]]="Details", INDEX(TBL_008_Qs_Lot_1[Word limit], MATCH(1, (TBL_SQ_Qs_Lot_1[[#This Row],[Q. No.]]=TBL_008_Qs_Lot_1[Q.])*("Question"=TBL_008_Qs_Lot_1[Type]),0)), "")</f>
        <v/>
      </c>
      <c r="G140" s="296" t="str">
        <f t="array" ref="G140">IF(TBL_SQ_Qs_Lot_1[[#This Row],[Type]]="Details", INDEX(TBL_008_Qs_Lot_1[Max score], MATCH(1, (TBL_SQ_Qs_Lot_1[[#This Row],[Q. No.]]=TBL_008_Qs_Lot_1[Q.])*("Question"=TBL_008_Qs_Lot_1[Type]),0)), "")</f>
        <v/>
      </c>
      <c r="H140" s="296" t="str">
        <f t="array" ref="H140">IF(TBL_SQ_Qs_Lot_1[[#This Row],[Type]]="Details", INDEX(TBL_008_Qs_Lot_1[No.subs], MATCH(1, (TBL_SQ_Qs_Lot_1[[#This Row],[Q. No.]]=TBL_008_Qs_Lot_1[Q.])*("Question"=TBL_008_Qs_Lot_1[Type]),0)), "")</f>
        <v/>
      </c>
      <c r="I140" s="296" t="str">
        <f t="array" ref="I14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0" s="296" t="str">
        <f t="array" ref="J14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0" s="296" t="str">
        <f t="array" ref="K140">IF(TBL_SQ_Qs_Lot_1[[#This Row],[Type]]="Details", INDEX(TBL_008_Qs_Lot_1[Weighting], MATCH(1, (TBL_SQ_Qs_Lot_1[[#This Row],[Q. No.]]=TBL_008_Qs_Lot_1[Q.])*("Question"=TBL_008_Qs_Lot_1[Type]),0)), "")</f>
        <v/>
      </c>
      <c r="L140" s="296" t="str">
        <f>IF($H$4="No", "Shade", IF(OR(TBL_SQ_Qs_Lot_1[[#This Row],[Question]]="Not used
", AND(TBL_SQ_Qs_Lot_1[[#This Row],[Type]]="Details", TBL_SQ_Qs_Lot_1[[#This Row],[Subs]]=0)), "Shade", ""))</f>
        <v>Shade</v>
      </c>
    </row>
    <row r="141" spans="1:12" ht="25" hidden="1" customHeight="1">
      <c r="A141" s="239" t="s">
        <v>715</v>
      </c>
      <c r="B141" s="84" t="str">
        <f t="array" ref="B14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1" s="234"/>
      <c r="D141" s="297" t="str">
        <f>IF(TBL_SQ_Qs_Lot_1[[#This Row],[Type]]="Question", IF(OR(TBL_SQ_Qs_Lot_1[[#This Row],[Shade?]]="Shade", TBL_SQ_Qs_Lot_1[[#This Row],[Question]]="Question not used
"), "", IF(TBL_SQ_Qs_Lot_1[[#This Row],[Response]]&lt;&gt;"", "Done", "Add")), "")</f>
        <v/>
      </c>
      <c r="E141" s="407" t="s">
        <v>779</v>
      </c>
      <c r="F141" s="296" t="str">
        <f t="array" ref="F141">IF(TBL_SQ_Qs_Lot_1[[#This Row],[Type]]="Details", INDEX(TBL_008_Qs_Lot_1[Word limit], MATCH(1, (TBL_SQ_Qs_Lot_1[[#This Row],[Q. No.]]=TBL_008_Qs_Lot_1[Q.])*("Question"=TBL_008_Qs_Lot_1[Type]),0)), "")</f>
        <v/>
      </c>
      <c r="G141" s="296" t="str">
        <f t="array" ref="G141">IF(TBL_SQ_Qs_Lot_1[[#This Row],[Type]]="Details", INDEX(TBL_008_Qs_Lot_1[Max score], MATCH(1, (TBL_SQ_Qs_Lot_1[[#This Row],[Q. No.]]=TBL_008_Qs_Lot_1[Q.])*("Question"=TBL_008_Qs_Lot_1[Type]),0)), "")</f>
        <v/>
      </c>
      <c r="H141" s="296" t="str">
        <f t="array" ref="H141">IF(TBL_SQ_Qs_Lot_1[[#This Row],[Type]]="Details", INDEX(TBL_008_Qs_Lot_1[No.subs], MATCH(1, (TBL_SQ_Qs_Lot_1[[#This Row],[Q. No.]]=TBL_008_Qs_Lot_1[Q.])*("Question"=TBL_008_Qs_Lot_1[Type]),0)), "")</f>
        <v/>
      </c>
      <c r="I141" s="296" t="str">
        <f t="array" ref="I14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1" s="296" t="str">
        <f t="array" ref="J14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1" s="296" t="str">
        <f t="array" ref="K141">IF(TBL_SQ_Qs_Lot_1[[#This Row],[Type]]="Details", INDEX(TBL_008_Qs_Lot_1[Weighting], MATCH(1, (TBL_SQ_Qs_Lot_1[[#This Row],[Q. No.]]=TBL_008_Qs_Lot_1[Q.])*("Question"=TBL_008_Qs_Lot_1[Type]),0)), "")</f>
        <v/>
      </c>
      <c r="L141" s="296" t="str">
        <f>IF($H$4="No", "Shade", IF(OR(TBL_SQ_Qs_Lot_1[[#This Row],[Question]]="Not used
", AND(TBL_SQ_Qs_Lot_1[[#This Row],[Type]]="Details", TBL_SQ_Qs_Lot_1[[#This Row],[Subs]]=0)), "Shade", ""))</f>
        <v>Shade</v>
      </c>
    </row>
    <row r="142" spans="1:12" ht="25" hidden="1" customHeight="1">
      <c r="A142" s="239" t="s">
        <v>716</v>
      </c>
      <c r="B142" s="84" t="str">
        <f t="array" ref="B14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2" s="234"/>
      <c r="D142" s="297" t="str">
        <f>IF(TBL_SQ_Qs_Lot_1[[#This Row],[Type]]="Question", IF(OR(TBL_SQ_Qs_Lot_1[[#This Row],[Shade?]]="Shade", TBL_SQ_Qs_Lot_1[[#This Row],[Question]]="Question not used
"), "", IF(TBL_SQ_Qs_Lot_1[[#This Row],[Response]]&lt;&gt;"", "Done", "Add")), "")</f>
        <v/>
      </c>
      <c r="E142" s="407" t="s">
        <v>779</v>
      </c>
      <c r="F142" s="296" t="str">
        <f t="array" ref="F142">IF(TBL_SQ_Qs_Lot_1[[#This Row],[Type]]="Details", INDEX(TBL_008_Qs_Lot_1[Word limit], MATCH(1, (TBL_SQ_Qs_Lot_1[[#This Row],[Q. No.]]=TBL_008_Qs_Lot_1[Q.])*("Question"=TBL_008_Qs_Lot_1[Type]),0)), "")</f>
        <v/>
      </c>
      <c r="G142" s="296" t="str">
        <f t="array" ref="G142">IF(TBL_SQ_Qs_Lot_1[[#This Row],[Type]]="Details", INDEX(TBL_008_Qs_Lot_1[Max score], MATCH(1, (TBL_SQ_Qs_Lot_1[[#This Row],[Q. No.]]=TBL_008_Qs_Lot_1[Q.])*("Question"=TBL_008_Qs_Lot_1[Type]),0)), "")</f>
        <v/>
      </c>
      <c r="H142" s="296" t="str">
        <f t="array" ref="H142">IF(TBL_SQ_Qs_Lot_1[[#This Row],[Type]]="Details", INDEX(TBL_008_Qs_Lot_1[No.subs], MATCH(1, (TBL_SQ_Qs_Lot_1[[#This Row],[Q. No.]]=TBL_008_Qs_Lot_1[Q.])*("Question"=TBL_008_Qs_Lot_1[Type]),0)), "")</f>
        <v/>
      </c>
      <c r="I142" s="296" t="str">
        <f t="array" ref="I14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2" s="296" t="str">
        <f t="array" ref="J14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2" s="296" t="str">
        <f t="array" ref="K142">IF(TBL_SQ_Qs_Lot_1[[#This Row],[Type]]="Details", INDEX(TBL_008_Qs_Lot_1[Weighting], MATCH(1, (TBL_SQ_Qs_Lot_1[[#This Row],[Q. No.]]=TBL_008_Qs_Lot_1[Q.])*("Question"=TBL_008_Qs_Lot_1[Type]),0)), "")</f>
        <v/>
      </c>
      <c r="L142" s="296" t="str">
        <f>IF($H$4="No", "Shade", IF(OR(TBL_SQ_Qs_Lot_1[[#This Row],[Question]]="Not used
", AND(TBL_SQ_Qs_Lot_1[[#This Row],[Type]]="Details", TBL_SQ_Qs_Lot_1[[#This Row],[Subs]]=0)), "Shade", ""))</f>
        <v>Shade</v>
      </c>
    </row>
    <row r="143" spans="1:12" ht="25" hidden="1" customHeight="1">
      <c r="A143" s="239" t="s">
        <v>717</v>
      </c>
      <c r="B143" s="84" t="str">
        <f t="array" ref="B14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3" s="234"/>
      <c r="D143" s="297" t="str">
        <f>IF(TBL_SQ_Qs_Lot_1[[#This Row],[Type]]="Question", IF(OR(TBL_SQ_Qs_Lot_1[[#This Row],[Shade?]]="Shade", TBL_SQ_Qs_Lot_1[[#This Row],[Question]]="Question not used
"), "", IF(TBL_SQ_Qs_Lot_1[[#This Row],[Response]]&lt;&gt;"", "Done", "Add")), "")</f>
        <v/>
      </c>
      <c r="E143" s="407" t="s">
        <v>779</v>
      </c>
      <c r="F143" s="296" t="str">
        <f t="array" ref="F143">IF(TBL_SQ_Qs_Lot_1[[#This Row],[Type]]="Details", INDEX(TBL_008_Qs_Lot_1[Word limit], MATCH(1, (TBL_SQ_Qs_Lot_1[[#This Row],[Q. No.]]=TBL_008_Qs_Lot_1[Q.])*("Question"=TBL_008_Qs_Lot_1[Type]),0)), "")</f>
        <v/>
      </c>
      <c r="G143" s="296" t="str">
        <f t="array" ref="G143">IF(TBL_SQ_Qs_Lot_1[[#This Row],[Type]]="Details", INDEX(TBL_008_Qs_Lot_1[Max score], MATCH(1, (TBL_SQ_Qs_Lot_1[[#This Row],[Q. No.]]=TBL_008_Qs_Lot_1[Q.])*("Question"=TBL_008_Qs_Lot_1[Type]),0)), "")</f>
        <v/>
      </c>
      <c r="H143" s="296" t="str">
        <f t="array" ref="H143">IF(TBL_SQ_Qs_Lot_1[[#This Row],[Type]]="Details", INDEX(TBL_008_Qs_Lot_1[No.subs], MATCH(1, (TBL_SQ_Qs_Lot_1[[#This Row],[Q. No.]]=TBL_008_Qs_Lot_1[Q.])*("Question"=TBL_008_Qs_Lot_1[Type]),0)), "")</f>
        <v/>
      </c>
      <c r="I143" s="296" t="str">
        <f t="array" ref="I14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3" s="296" t="str">
        <f t="array" ref="J14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3" s="296" t="str">
        <f t="array" ref="K143">IF(TBL_SQ_Qs_Lot_1[[#This Row],[Type]]="Details", INDEX(TBL_008_Qs_Lot_1[Weighting], MATCH(1, (TBL_SQ_Qs_Lot_1[[#This Row],[Q. No.]]=TBL_008_Qs_Lot_1[Q.])*("Question"=TBL_008_Qs_Lot_1[Type]),0)), "")</f>
        <v/>
      </c>
      <c r="L143" s="296" t="str">
        <f>IF($H$4="No", "Shade", IF(OR(TBL_SQ_Qs_Lot_1[[#This Row],[Question]]="Not used
", AND(TBL_SQ_Qs_Lot_1[[#This Row],[Type]]="Details", TBL_SQ_Qs_Lot_1[[#This Row],[Subs]]=0)), "Shade", ""))</f>
        <v>Shade</v>
      </c>
    </row>
    <row r="144" spans="1:12" ht="25" hidden="1" customHeight="1">
      <c r="A144" s="232" t="s">
        <v>718</v>
      </c>
      <c r="B144" s="86" t="str">
        <f t="array" ref="B14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4" s="235"/>
      <c r="D144" s="297" t="str">
        <f>IF(TBL_SQ_Qs_Lot_1[[#This Row],[Type]]="Question", IF(OR(TBL_SQ_Qs_Lot_1[[#This Row],[Shade?]]="Shade", TBL_SQ_Qs_Lot_1[[#This Row],[Question]]="Question not used
"), "", IF(TBL_SQ_Qs_Lot_1[[#This Row],[Response]]&lt;&gt;"", "Done", "Add")), "")</f>
        <v/>
      </c>
      <c r="E144" s="407" t="s">
        <v>779</v>
      </c>
      <c r="F144" s="296" t="str">
        <f t="array" ref="F144">IF(TBL_SQ_Qs_Lot_1[[#This Row],[Type]]="Details", INDEX(TBL_008_Qs_Lot_1[Word limit], MATCH(1, (TBL_SQ_Qs_Lot_1[[#This Row],[Q. No.]]=TBL_008_Qs_Lot_1[Q.])*("Question"=TBL_008_Qs_Lot_1[Type]),0)), "")</f>
        <v/>
      </c>
      <c r="G144" s="296" t="str">
        <f t="array" ref="G144">IF(TBL_SQ_Qs_Lot_1[[#This Row],[Type]]="Details", INDEX(TBL_008_Qs_Lot_1[Max score], MATCH(1, (TBL_SQ_Qs_Lot_1[[#This Row],[Q. No.]]=TBL_008_Qs_Lot_1[Q.])*("Question"=TBL_008_Qs_Lot_1[Type]),0)), "")</f>
        <v/>
      </c>
      <c r="H144" s="296" t="str">
        <f t="array" ref="H144">IF(TBL_SQ_Qs_Lot_1[[#This Row],[Type]]="Details", INDEX(TBL_008_Qs_Lot_1[No.subs], MATCH(1, (TBL_SQ_Qs_Lot_1[[#This Row],[Q. No.]]=TBL_008_Qs_Lot_1[Q.])*("Question"=TBL_008_Qs_Lot_1[Type]),0)), "")</f>
        <v/>
      </c>
      <c r="I144" s="296" t="str">
        <f t="array" ref="I14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4" s="296" t="str">
        <f t="array" ref="J14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4" s="296" t="str">
        <f t="array" ref="K144">IF(TBL_SQ_Qs_Lot_1[[#This Row],[Type]]="Details", INDEX(TBL_008_Qs_Lot_1[Weighting], MATCH(1, (TBL_SQ_Qs_Lot_1[[#This Row],[Q. No.]]=TBL_008_Qs_Lot_1[Q.])*("Question"=TBL_008_Qs_Lot_1[Type]),0)), "")</f>
        <v/>
      </c>
      <c r="L144" s="296" t="str">
        <f>IF($H$4="No", "Shade", IF(OR(TBL_SQ_Qs_Lot_1[[#This Row],[Question]]="Not used
", AND(TBL_SQ_Qs_Lot_1[[#This Row],[Type]]="Details", TBL_SQ_Qs_Lot_1[[#This Row],[Subs]]=0)), "Shade", ""))</f>
        <v>Shade</v>
      </c>
    </row>
    <row r="145" spans="1:12" ht="25" hidden="1" customHeight="1">
      <c r="A145" s="237" t="s">
        <v>719</v>
      </c>
      <c r="B145" s="219" t="str">
        <f t="array" ref="B14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5" s="297"/>
      <c r="D145" s="297" t="str">
        <f>IF(TBL_SQ_Qs_Lot_1[[#This Row],[Type]]="Question", IF(OR(TBL_SQ_Qs_Lot_1[[#This Row],[Shade?]]="Shade", TBL_SQ_Qs_Lot_1[[#This Row],[Question]]="Question not used
"), "", IF(TBL_SQ_Qs_Lot_1[[#This Row],[Response]]&lt;&gt;"", "Done", "Add")), "")</f>
        <v/>
      </c>
      <c r="E145" s="407" t="s">
        <v>209</v>
      </c>
      <c r="F145" s="296" t="str">
        <f t="array" ref="F145">IF(TBL_SQ_Qs_Lot_1[[#This Row],[Type]]="Details", INDEX(TBL_008_Qs_Lot_1[Word limit], MATCH(1, (TBL_SQ_Qs_Lot_1[[#This Row],[Q. No.]]=TBL_008_Qs_Lot_1[Q.])*("Question"=TBL_008_Qs_Lot_1[Type]),0)), "")</f>
        <v/>
      </c>
      <c r="G145" s="296" t="str">
        <f t="array" ref="G145">IF(TBL_SQ_Qs_Lot_1[[#This Row],[Type]]="Details", INDEX(TBL_008_Qs_Lot_1[Max score], MATCH(1, (TBL_SQ_Qs_Lot_1[[#This Row],[Q. No.]]=TBL_008_Qs_Lot_1[Q.])*("Question"=TBL_008_Qs_Lot_1[Type]),0)), "")</f>
        <v/>
      </c>
      <c r="H145" s="296" t="str">
        <f t="array" ref="H145">IF(TBL_SQ_Qs_Lot_1[[#This Row],[Type]]="Details", INDEX(TBL_008_Qs_Lot_1[No.subs], MATCH(1, (TBL_SQ_Qs_Lot_1[[#This Row],[Q. No.]]=TBL_008_Qs_Lot_1[Q.])*("Question"=TBL_008_Qs_Lot_1[Type]),0)), "")</f>
        <v/>
      </c>
      <c r="I145" s="296" t="str">
        <f t="array" ref="I14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5" s="296" t="str">
        <f t="array" ref="J14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5" s="296" t="str">
        <f t="array" ref="K145">IF(TBL_SQ_Qs_Lot_1[[#This Row],[Type]]="Details", INDEX(TBL_008_Qs_Lot_1[Weighting], MATCH(1, (TBL_SQ_Qs_Lot_1[[#This Row],[Q. No.]]=TBL_008_Qs_Lot_1[Q.])*("Question"=TBL_008_Qs_Lot_1[Type]),0)), "")</f>
        <v/>
      </c>
      <c r="L145" s="296" t="str">
        <f>IF($H$4="No", "Shade", IF(OR(TBL_SQ_Qs_Lot_1[[#This Row],[Question]]="Not used
", AND(TBL_SQ_Qs_Lot_1[[#This Row],[Type]]="Details", TBL_SQ_Qs_Lot_1[[#This Row],[Subs]]=0)), "Shade", ""))</f>
        <v>Shade</v>
      </c>
    </row>
    <row r="146" spans="1:12" ht="25" hidden="1" customHeight="1">
      <c r="A146" s="238" t="s">
        <v>719</v>
      </c>
      <c r="B146" s="220" t="str">
        <f t="array" ref="B14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Q6.11 should have a word count of not more than 0 words.
The maximum score for this question is 0.00 marks (0.00 elements x 5.00 marks)
</v>
      </c>
      <c r="C146" s="233"/>
      <c r="D146" s="297" t="str">
        <f>IF(TBL_SQ_Qs_Lot_1[[#This Row],[Type]]="Question", IF(OR(TBL_SQ_Qs_Lot_1[[#This Row],[Shade?]]="Shade", TBL_SQ_Qs_Lot_1[[#This Row],[Question]]="Question not used
"), "", IF(TBL_SQ_Qs_Lot_1[[#This Row],[Response]]&lt;&gt;"", "Done", "Add")), "")</f>
        <v/>
      </c>
      <c r="E146" s="407" t="s">
        <v>798</v>
      </c>
      <c r="F146" s="296">
        <f t="array" ref="F146">IF(TBL_SQ_Qs_Lot_1[[#This Row],[Type]]="Details", INDEX(TBL_008_Qs_Lot_1[Word limit], MATCH(1, (TBL_SQ_Qs_Lot_1[[#This Row],[Q. No.]]=TBL_008_Qs_Lot_1[Q.])*("Question"=TBL_008_Qs_Lot_1[Type]),0)), "")</f>
        <v>0</v>
      </c>
      <c r="G146" s="296">
        <f t="array" ref="G146">IF(TBL_SQ_Qs_Lot_1[[#This Row],[Type]]="Details", INDEX(TBL_008_Qs_Lot_1[Max score], MATCH(1, (TBL_SQ_Qs_Lot_1[[#This Row],[Q. No.]]=TBL_008_Qs_Lot_1[Q.])*("Question"=TBL_008_Qs_Lot_1[Type]),0)), "")</f>
        <v>0</v>
      </c>
      <c r="H146" s="296">
        <f t="array" ref="H146">IF(TBL_SQ_Qs_Lot_1[[#This Row],[Type]]="Details", INDEX(TBL_008_Qs_Lot_1[No.subs], MATCH(1, (TBL_SQ_Qs_Lot_1[[#This Row],[Q. No.]]=TBL_008_Qs_Lot_1[Q.])*("Question"=TBL_008_Qs_Lot_1[Type]),0)), "")</f>
        <v>0</v>
      </c>
      <c r="I146" s="296" t="str">
        <f t="array" ref="I14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6" s="296" t="str">
        <f t="array" ref="J14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6" s="296" t="str">
        <f t="array" ref="K146">IF(TBL_SQ_Qs_Lot_1[[#This Row],[Type]]="Details", INDEX(TBL_008_Qs_Lot_1[Weighting], MATCH(1, (TBL_SQ_Qs_Lot_1[[#This Row],[Q. No.]]=TBL_008_Qs_Lot_1[Q.])*("Question"=TBL_008_Qs_Lot_1[Type]),0)), "")</f>
        <v>N/A</v>
      </c>
      <c r="L146" s="296" t="str">
        <f>IF($H$4="No", "Shade", IF(OR(TBL_SQ_Qs_Lot_1[[#This Row],[Question]]="Not used
", AND(TBL_SQ_Qs_Lot_1[[#This Row],[Type]]="Details", TBL_SQ_Qs_Lot_1[[#This Row],[Subs]]=0)), "Shade", ""))</f>
        <v>Shade</v>
      </c>
    </row>
    <row r="147" spans="1:12" ht="25" hidden="1" customHeight="1">
      <c r="A147" s="239" t="s">
        <v>720</v>
      </c>
      <c r="B147" s="84" t="str">
        <f t="array" ref="B14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7" s="234"/>
      <c r="D147" s="297" t="str">
        <f>IF(TBL_SQ_Qs_Lot_1[[#This Row],[Type]]="Question", IF(OR(TBL_SQ_Qs_Lot_1[[#This Row],[Shade?]]="Shade", TBL_SQ_Qs_Lot_1[[#This Row],[Question]]="Question not used
"), "", IF(TBL_SQ_Qs_Lot_1[[#This Row],[Response]]&lt;&gt;"", "Done", "Add")), "")</f>
        <v/>
      </c>
      <c r="E147" s="407" t="s">
        <v>779</v>
      </c>
      <c r="F147" s="296" t="str">
        <f t="array" ref="F147">IF(TBL_SQ_Qs_Lot_1[[#This Row],[Type]]="Details", INDEX(TBL_008_Qs_Lot_1[Word limit], MATCH(1, (TBL_SQ_Qs_Lot_1[[#This Row],[Q. No.]]=TBL_008_Qs_Lot_1[Q.])*("Question"=TBL_008_Qs_Lot_1[Type]),0)), "")</f>
        <v/>
      </c>
      <c r="G147" s="296" t="str">
        <f t="array" ref="G147">IF(TBL_SQ_Qs_Lot_1[[#This Row],[Type]]="Details", INDEX(TBL_008_Qs_Lot_1[Max score], MATCH(1, (TBL_SQ_Qs_Lot_1[[#This Row],[Q. No.]]=TBL_008_Qs_Lot_1[Q.])*("Question"=TBL_008_Qs_Lot_1[Type]),0)), "")</f>
        <v/>
      </c>
      <c r="H147" s="296" t="str">
        <f t="array" ref="H147">IF(TBL_SQ_Qs_Lot_1[[#This Row],[Type]]="Details", INDEX(TBL_008_Qs_Lot_1[No.subs], MATCH(1, (TBL_SQ_Qs_Lot_1[[#This Row],[Q. No.]]=TBL_008_Qs_Lot_1[Q.])*("Question"=TBL_008_Qs_Lot_1[Type]),0)), "")</f>
        <v/>
      </c>
      <c r="I147" s="296" t="str">
        <f t="array" ref="I14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7" s="296" t="str">
        <f t="array" ref="J14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7" s="296" t="str">
        <f t="array" ref="K147">IF(TBL_SQ_Qs_Lot_1[[#This Row],[Type]]="Details", INDEX(TBL_008_Qs_Lot_1[Weighting], MATCH(1, (TBL_SQ_Qs_Lot_1[[#This Row],[Q. No.]]=TBL_008_Qs_Lot_1[Q.])*("Question"=TBL_008_Qs_Lot_1[Type]),0)), "")</f>
        <v/>
      </c>
      <c r="L147" s="296" t="str">
        <f>IF($H$4="No", "Shade", IF(OR(TBL_SQ_Qs_Lot_1[[#This Row],[Question]]="Not used
", AND(TBL_SQ_Qs_Lot_1[[#This Row],[Type]]="Details", TBL_SQ_Qs_Lot_1[[#This Row],[Subs]]=0)), "Shade", ""))</f>
        <v>Shade</v>
      </c>
    </row>
    <row r="148" spans="1:12" ht="25" hidden="1" customHeight="1">
      <c r="A148" s="239" t="s">
        <v>721</v>
      </c>
      <c r="B148" s="84" t="str">
        <f t="array" ref="B14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8" s="234"/>
      <c r="D148" s="297" t="str">
        <f>IF(TBL_SQ_Qs_Lot_1[[#This Row],[Type]]="Question", IF(OR(TBL_SQ_Qs_Lot_1[[#This Row],[Shade?]]="Shade", TBL_SQ_Qs_Lot_1[[#This Row],[Question]]="Question not used
"), "", IF(TBL_SQ_Qs_Lot_1[[#This Row],[Response]]&lt;&gt;"", "Done", "Add")), "")</f>
        <v/>
      </c>
      <c r="E148" s="407" t="s">
        <v>779</v>
      </c>
      <c r="F148" s="296" t="str">
        <f t="array" ref="F148">IF(TBL_SQ_Qs_Lot_1[[#This Row],[Type]]="Details", INDEX(TBL_008_Qs_Lot_1[Word limit], MATCH(1, (TBL_SQ_Qs_Lot_1[[#This Row],[Q. No.]]=TBL_008_Qs_Lot_1[Q.])*("Question"=TBL_008_Qs_Lot_1[Type]),0)), "")</f>
        <v/>
      </c>
      <c r="G148" s="296" t="str">
        <f t="array" ref="G148">IF(TBL_SQ_Qs_Lot_1[[#This Row],[Type]]="Details", INDEX(TBL_008_Qs_Lot_1[Max score], MATCH(1, (TBL_SQ_Qs_Lot_1[[#This Row],[Q. No.]]=TBL_008_Qs_Lot_1[Q.])*("Question"=TBL_008_Qs_Lot_1[Type]),0)), "")</f>
        <v/>
      </c>
      <c r="H148" s="296" t="str">
        <f t="array" ref="H148">IF(TBL_SQ_Qs_Lot_1[[#This Row],[Type]]="Details", INDEX(TBL_008_Qs_Lot_1[No.subs], MATCH(1, (TBL_SQ_Qs_Lot_1[[#This Row],[Q. No.]]=TBL_008_Qs_Lot_1[Q.])*("Question"=TBL_008_Qs_Lot_1[Type]),0)), "")</f>
        <v/>
      </c>
      <c r="I148" s="296" t="str">
        <f t="array" ref="I14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8" s="296" t="str">
        <f t="array" ref="J14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8" s="296" t="str">
        <f t="array" ref="K148">IF(TBL_SQ_Qs_Lot_1[[#This Row],[Type]]="Details", INDEX(TBL_008_Qs_Lot_1[Weighting], MATCH(1, (TBL_SQ_Qs_Lot_1[[#This Row],[Q. No.]]=TBL_008_Qs_Lot_1[Q.])*("Question"=TBL_008_Qs_Lot_1[Type]),0)), "")</f>
        <v/>
      </c>
      <c r="L148" s="296" t="str">
        <f>IF($H$4="No", "Shade", IF(OR(TBL_SQ_Qs_Lot_1[[#This Row],[Question]]="Not used
", AND(TBL_SQ_Qs_Lot_1[[#This Row],[Type]]="Details", TBL_SQ_Qs_Lot_1[[#This Row],[Subs]]=0)), "Shade", ""))</f>
        <v>Shade</v>
      </c>
    </row>
    <row r="149" spans="1:12" ht="25" hidden="1" customHeight="1">
      <c r="A149" s="239" t="s">
        <v>722</v>
      </c>
      <c r="B149" s="84" t="str">
        <f t="array" ref="B14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49" s="234"/>
      <c r="D149" s="297" t="str">
        <f>IF(TBL_SQ_Qs_Lot_1[[#This Row],[Type]]="Question", IF(OR(TBL_SQ_Qs_Lot_1[[#This Row],[Shade?]]="Shade", TBL_SQ_Qs_Lot_1[[#This Row],[Question]]="Question not used
"), "", IF(TBL_SQ_Qs_Lot_1[[#This Row],[Response]]&lt;&gt;"", "Done", "Add")), "")</f>
        <v/>
      </c>
      <c r="E149" s="407" t="s">
        <v>779</v>
      </c>
      <c r="F149" s="296" t="str">
        <f t="array" ref="F149">IF(TBL_SQ_Qs_Lot_1[[#This Row],[Type]]="Details", INDEX(TBL_008_Qs_Lot_1[Word limit], MATCH(1, (TBL_SQ_Qs_Lot_1[[#This Row],[Q. No.]]=TBL_008_Qs_Lot_1[Q.])*("Question"=TBL_008_Qs_Lot_1[Type]),0)), "")</f>
        <v/>
      </c>
      <c r="G149" s="296" t="str">
        <f t="array" ref="G149">IF(TBL_SQ_Qs_Lot_1[[#This Row],[Type]]="Details", INDEX(TBL_008_Qs_Lot_1[Max score], MATCH(1, (TBL_SQ_Qs_Lot_1[[#This Row],[Q. No.]]=TBL_008_Qs_Lot_1[Q.])*("Question"=TBL_008_Qs_Lot_1[Type]),0)), "")</f>
        <v/>
      </c>
      <c r="H149" s="296" t="str">
        <f t="array" ref="H149">IF(TBL_SQ_Qs_Lot_1[[#This Row],[Type]]="Details", INDEX(TBL_008_Qs_Lot_1[No.subs], MATCH(1, (TBL_SQ_Qs_Lot_1[[#This Row],[Q. No.]]=TBL_008_Qs_Lot_1[Q.])*("Question"=TBL_008_Qs_Lot_1[Type]),0)), "")</f>
        <v/>
      </c>
      <c r="I149" s="296" t="str">
        <f t="array" ref="I14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49" s="296" t="str">
        <f t="array" ref="J14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49" s="296" t="str">
        <f t="array" ref="K149">IF(TBL_SQ_Qs_Lot_1[[#This Row],[Type]]="Details", INDEX(TBL_008_Qs_Lot_1[Weighting], MATCH(1, (TBL_SQ_Qs_Lot_1[[#This Row],[Q. No.]]=TBL_008_Qs_Lot_1[Q.])*("Question"=TBL_008_Qs_Lot_1[Type]),0)), "")</f>
        <v/>
      </c>
      <c r="L149" s="296" t="str">
        <f>IF($H$4="No", "Shade", IF(OR(TBL_SQ_Qs_Lot_1[[#This Row],[Question]]="Not used
", AND(TBL_SQ_Qs_Lot_1[[#This Row],[Type]]="Details", TBL_SQ_Qs_Lot_1[[#This Row],[Subs]]=0)), "Shade", ""))</f>
        <v>Shade</v>
      </c>
    </row>
    <row r="150" spans="1:12" ht="25" hidden="1" customHeight="1">
      <c r="A150" s="239" t="s">
        <v>723</v>
      </c>
      <c r="B150" s="84" t="str">
        <f t="array" ref="B15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0" s="234"/>
      <c r="D150" s="297" t="str">
        <f>IF(TBL_SQ_Qs_Lot_1[[#This Row],[Type]]="Question", IF(OR(TBL_SQ_Qs_Lot_1[[#This Row],[Shade?]]="Shade", TBL_SQ_Qs_Lot_1[[#This Row],[Question]]="Question not used
"), "", IF(TBL_SQ_Qs_Lot_1[[#This Row],[Response]]&lt;&gt;"", "Done", "Add")), "")</f>
        <v/>
      </c>
      <c r="E150" s="407" t="s">
        <v>779</v>
      </c>
      <c r="F150" s="296" t="str">
        <f t="array" ref="F150">IF(TBL_SQ_Qs_Lot_1[[#This Row],[Type]]="Details", INDEX(TBL_008_Qs_Lot_1[Word limit], MATCH(1, (TBL_SQ_Qs_Lot_1[[#This Row],[Q. No.]]=TBL_008_Qs_Lot_1[Q.])*("Question"=TBL_008_Qs_Lot_1[Type]),0)), "")</f>
        <v/>
      </c>
      <c r="G150" s="296" t="str">
        <f t="array" ref="G150">IF(TBL_SQ_Qs_Lot_1[[#This Row],[Type]]="Details", INDEX(TBL_008_Qs_Lot_1[Max score], MATCH(1, (TBL_SQ_Qs_Lot_1[[#This Row],[Q. No.]]=TBL_008_Qs_Lot_1[Q.])*("Question"=TBL_008_Qs_Lot_1[Type]),0)), "")</f>
        <v/>
      </c>
      <c r="H150" s="296" t="str">
        <f t="array" ref="H150">IF(TBL_SQ_Qs_Lot_1[[#This Row],[Type]]="Details", INDEX(TBL_008_Qs_Lot_1[No.subs], MATCH(1, (TBL_SQ_Qs_Lot_1[[#This Row],[Q. No.]]=TBL_008_Qs_Lot_1[Q.])*("Question"=TBL_008_Qs_Lot_1[Type]),0)), "")</f>
        <v/>
      </c>
      <c r="I150" s="296" t="str">
        <f t="array" ref="I15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0" s="296" t="str">
        <f t="array" ref="J15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0" s="296" t="str">
        <f t="array" ref="K150">IF(TBL_SQ_Qs_Lot_1[[#This Row],[Type]]="Details", INDEX(TBL_008_Qs_Lot_1[Weighting], MATCH(1, (TBL_SQ_Qs_Lot_1[[#This Row],[Q. No.]]=TBL_008_Qs_Lot_1[Q.])*("Question"=TBL_008_Qs_Lot_1[Type]),0)), "")</f>
        <v/>
      </c>
      <c r="L150" s="296" t="str">
        <f>IF($H$4="No", "Shade", IF(OR(TBL_SQ_Qs_Lot_1[[#This Row],[Question]]="Not used
", AND(TBL_SQ_Qs_Lot_1[[#This Row],[Type]]="Details", TBL_SQ_Qs_Lot_1[[#This Row],[Subs]]=0)), "Shade", ""))</f>
        <v>Shade</v>
      </c>
    </row>
    <row r="151" spans="1:12" ht="25" hidden="1" customHeight="1">
      <c r="A151" s="239" t="s">
        <v>724</v>
      </c>
      <c r="B151" s="84" t="str">
        <f t="array" ref="B15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1" s="234"/>
      <c r="D151" s="297" t="str">
        <f>IF(TBL_SQ_Qs_Lot_1[[#This Row],[Type]]="Question", IF(OR(TBL_SQ_Qs_Lot_1[[#This Row],[Shade?]]="Shade", TBL_SQ_Qs_Lot_1[[#This Row],[Question]]="Question not used
"), "", IF(TBL_SQ_Qs_Lot_1[[#This Row],[Response]]&lt;&gt;"", "Done", "Add")), "")</f>
        <v/>
      </c>
      <c r="E151" s="407" t="s">
        <v>779</v>
      </c>
      <c r="F151" s="296" t="str">
        <f t="array" ref="F151">IF(TBL_SQ_Qs_Lot_1[[#This Row],[Type]]="Details", INDEX(TBL_008_Qs_Lot_1[Word limit], MATCH(1, (TBL_SQ_Qs_Lot_1[[#This Row],[Q. No.]]=TBL_008_Qs_Lot_1[Q.])*("Question"=TBL_008_Qs_Lot_1[Type]),0)), "")</f>
        <v/>
      </c>
      <c r="G151" s="296" t="str">
        <f t="array" ref="G151">IF(TBL_SQ_Qs_Lot_1[[#This Row],[Type]]="Details", INDEX(TBL_008_Qs_Lot_1[Max score], MATCH(1, (TBL_SQ_Qs_Lot_1[[#This Row],[Q. No.]]=TBL_008_Qs_Lot_1[Q.])*("Question"=TBL_008_Qs_Lot_1[Type]),0)), "")</f>
        <v/>
      </c>
      <c r="H151" s="296" t="str">
        <f t="array" ref="H151">IF(TBL_SQ_Qs_Lot_1[[#This Row],[Type]]="Details", INDEX(TBL_008_Qs_Lot_1[No.subs], MATCH(1, (TBL_SQ_Qs_Lot_1[[#This Row],[Q. No.]]=TBL_008_Qs_Lot_1[Q.])*("Question"=TBL_008_Qs_Lot_1[Type]),0)), "")</f>
        <v/>
      </c>
      <c r="I151" s="296" t="str">
        <f t="array" ref="I15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1" s="296" t="str">
        <f t="array" ref="J15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1" s="296" t="str">
        <f t="array" ref="K151">IF(TBL_SQ_Qs_Lot_1[[#This Row],[Type]]="Details", INDEX(TBL_008_Qs_Lot_1[Weighting], MATCH(1, (TBL_SQ_Qs_Lot_1[[#This Row],[Q. No.]]=TBL_008_Qs_Lot_1[Q.])*("Question"=TBL_008_Qs_Lot_1[Type]),0)), "")</f>
        <v/>
      </c>
      <c r="L151" s="296" t="str">
        <f>IF($H$4="No", "Shade", IF(OR(TBL_SQ_Qs_Lot_1[[#This Row],[Question]]="Not used
", AND(TBL_SQ_Qs_Lot_1[[#This Row],[Type]]="Details", TBL_SQ_Qs_Lot_1[[#This Row],[Subs]]=0)), "Shade", ""))</f>
        <v>Shade</v>
      </c>
    </row>
    <row r="152" spans="1:12" ht="25" hidden="1" customHeight="1">
      <c r="A152" s="239" t="s">
        <v>725</v>
      </c>
      <c r="B152" s="84" t="str">
        <f t="array" ref="B15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2" s="234"/>
      <c r="D152" s="297" t="str">
        <f>IF(TBL_SQ_Qs_Lot_1[[#This Row],[Type]]="Question", IF(OR(TBL_SQ_Qs_Lot_1[[#This Row],[Shade?]]="Shade", TBL_SQ_Qs_Lot_1[[#This Row],[Question]]="Question not used
"), "", IF(TBL_SQ_Qs_Lot_1[[#This Row],[Response]]&lt;&gt;"", "Done", "Add")), "")</f>
        <v/>
      </c>
      <c r="E152" s="407" t="s">
        <v>779</v>
      </c>
      <c r="F152" s="296" t="str">
        <f t="array" ref="F152">IF(TBL_SQ_Qs_Lot_1[[#This Row],[Type]]="Details", INDEX(TBL_008_Qs_Lot_1[Word limit], MATCH(1, (TBL_SQ_Qs_Lot_1[[#This Row],[Q. No.]]=TBL_008_Qs_Lot_1[Q.])*("Question"=TBL_008_Qs_Lot_1[Type]),0)), "")</f>
        <v/>
      </c>
      <c r="G152" s="296" t="str">
        <f t="array" ref="G152">IF(TBL_SQ_Qs_Lot_1[[#This Row],[Type]]="Details", INDEX(TBL_008_Qs_Lot_1[Max score], MATCH(1, (TBL_SQ_Qs_Lot_1[[#This Row],[Q. No.]]=TBL_008_Qs_Lot_1[Q.])*("Question"=TBL_008_Qs_Lot_1[Type]),0)), "")</f>
        <v/>
      </c>
      <c r="H152" s="296" t="str">
        <f t="array" ref="H152">IF(TBL_SQ_Qs_Lot_1[[#This Row],[Type]]="Details", INDEX(TBL_008_Qs_Lot_1[No.subs], MATCH(1, (TBL_SQ_Qs_Lot_1[[#This Row],[Q. No.]]=TBL_008_Qs_Lot_1[Q.])*("Question"=TBL_008_Qs_Lot_1[Type]),0)), "")</f>
        <v/>
      </c>
      <c r="I152" s="296" t="str">
        <f t="array" ref="I15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2" s="296" t="str">
        <f t="array" ref="J15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2" s="296" t="str">
        <f t="array" ref="K152">IF(TBL_SQ_Qs_Lot_1[[#This Row],[Type]]="Details", INDEX(TBL_008_Qs_Lot_1[Weighting], MATCH(1, (TBL_SQ_Qs_Lot_1[[#This Row],[Q. No.]]=TBL_008_Qs_Lot_1[Q.])*("Question"=TBL_008_Qs_Lot_1[Type]),0)), "")</f>
        <v/>
      </c>
      <c r="L152" s="296" t="str">
        <f>IF($H$4="No", "Shade", IF(OR(TBL_SQ_Qs_Lot_1[[#This Row],[Question]]="Not used
", AND(TBL_SQ_Qs_Lot_1[[#This Row],[Type]]="Details", TBL_SQ_Qs_Lot_1[[#This Row],[Subs]]=0)), "Shade", ""))</f>
        <v>Shade</v>
      </c>
    </row>
    <row r="153" spans="1:12" ht="25" hidden="1" customHeight="1">
      <c r="A153" s="239" t="s">
        <v>726</v>
      </c>
      <c r="B153" s="84" t="str">
        <f t="array" ref="B15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3" s="234"/>
      <c r="D153" s="297" t="str">
        <f>IF(TBL_SQ_Qs_Lot_1[[#This Row],[Type]]="Question", IF(OR(TBL_SQ_Qs_Lot_1[[#This Row],[Shade?]]="Shade", TBL_SQ_Qs_Lot_1[[#This Row],[Question]]="Question not used
"), "", IF(TBL_SQ_Qs_Lot_1[[#This Row],[Response]]&lt;&gt;"", "Done", "Add")), "")</f>
        <v/>
      </c>
      <c r="E153" s="407" t="s">
        <v>779</v>
      </c>
      <c r="F153" s="296" t="str">
        <f t="array" ref="F153">IF(TBL_SQ_Qs_Lot_1[[#This Row],[Type]]="Details", INDEX(TBL_008_Qs_Lot_1[Word limit], MATCH(1, (TBL_SQ_Qs_Lot_1[[#This Row],[Q. No.]]=TBL_008_Qs_Lot_1[Q.])*("Question"=TBL_008_Qs_Lot_1[Type]),0)), "")</f>
        <v/>
      </c>
      <c r="G153" s="296" t="str">
        <f t="array" ref="G153">IF(TBL_SQ_Qs_Lot_1[[#This Row],[Type]]="Details", INDEX(TBL_008_Qs_Lot_1[Max score], MATCH(1, (TBL_SQ_Qs_Lot_1[[#This Row],[Q. No.]]=TBL_008_Qs_Lot_1[Q.])*("Question"=TBL_008_Qs_Lot_1[Type]),0)), "")</f>
        <v/>
      </c>
      <c r="H153" s="296" t="str">
        <f t="array" ref="H153">IF(TBL_SQ_Qs_Lot_1[[#This Row],[Type]]="Details", INDEX(TBL_008_Qs_Lot_1[No.subs], MATCH(1, (TBL_SQ_Qs_Lot_1[[#This Row],[Q. No.]]=TBL_008_Qs_Lot_1[Q.])*("Question"=TBL_008_Qs_Lot_1[Type]),0)), "")</f>
        <v/>
      </c>
      <c r="I153" s="296" t="str">
        <f t="array" ref="I15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3" s="296" t="str">
        <f t="array" ref="J15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3" s="296" t="str">
        <f t="array" ref="K153">IF(TBL_SQ_Qs_Lot_1[[#This Row],[Type]]="Details", INDEX(TBL_008_Qs_Lot_1[Weighting], MATCH(1, (TBL_SQ_Qs_Lot_1[[#This Row],[Q. No.]]=TBL_008_Qs_Lot_1[Q.])*("Question"=TBL_008_Qs_Lot_1[Type]),0)), "")</f>
        <v/>
      </c>
      <c r="L153" s="296" t="str">
        <f>IF($H$4="No", "Shade", IF(OR(TBL_SQ_Qs_Lot_1[[#This Row],[Question]]="Not used
", AND(TBL_SQ_Qs_Lot_1[[#This Row],[Type]]="Details", TBL_SQ_Qs_Lot_1[[#This Row],[Subs]]=0)), "Shade", ""))</f>
        <v>Shade</v>
      </c>
    </row>
    <row r="154" spans="1:12" ht="25" hidden="1" customHeight="1">
      <c r="A154" s="239" t="s">
        <v>727</v>
      </c>
      <c r="B154" s="84" t="str">
        <f t="array" ref="B15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4" s="234"/>
      <c r="D154" s="297" t="str">
        <f>IF(TBL_SQ_Qs_Lot_1[[#This Row],[Type]]="Question", IF(OR(TBL_SQ_Qs_Lot_1[[#This Row],[Shade?]]="Shade", TBL_SQ_Qs_Lot_1[[#This Row],[Question]]="Question not used
"), "", IF(TBL_SQ_Qs_Lot_1[[#This Row],[Response]]&lt;&gt;"", "Done", "Add")), "")</f>
        <v/>
      </c>
      <c r="E154" s="407" t="s">
        <v>779</v>
      </c>
      <c r="F154" s="296" t="str">
        <f t="array" ref="F154">IF(TBL_SQ_Qs_Lot_1[[#This Row],[Type]]="Details", INDEX(TBL_008_Qs_Lot_1[Word limit], MATCH(1, (TBL_SQ_Qs_Lot_1[[#This Row],[Q. No.]]=TBL_008_Qs_Lot_1[Q.])*("Question"=TBL_008_Qs_Lot_1[Type]),0)), "")</f>
        <v/>
      </c>
      <c r="G154" s="296" t="str">
        <f t="array" ref="G154">IF(TBL_SQ_Qs_Lot_1[[#This Row],[Type]]="Details", INDEX(TBL_008_Qs_Lot_1[Max score], MATCH(1, (TBL_SQ_Qs_Lot_1[[#This Row],[Q. No.]]=TBL_008_Qs_Lot_1[Q.])*("Question"=TBL_008_Qs_Lot_1[Type]),0)), "")</f>
        <v/>
      </c>
      <c r="H154" s="296" t="str">
        <f t="array" ref="H154">IF(TBL_SQ_Qs_Lot_1[[#This Row],[Type]]="Details", INDEX(TBL_008_Qs_Lot_1[No.subs], MATCH(1, (TBL_SQ_Qs_Lot_1[[#This Row],[Q. No.]]=TBL_008_Qs_Lot_1[Q.])*("Question"=TBL_008_Qs_Lot_1[Type]),0)), "")</f>
        <v/>
      </c>
      <c r="I154" s="296" t="str">
        <f t="array" ref="I15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4" s="296" t="str">
        <f t="array" ref="J15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4" s="296" t="str">
        <f t="array" ref="K154">IF(TBL_SQ_Qs_Lot_1[[#This Row],[Type]]="Details", INDEX(TBL_008_Qs_Lot_1[Weighting], MATCH(1, (TBL_SQ_Qs_Lot_1[[#This Row],[Q. No.]]=TBL_008_Qs_Lot_1[Q.])*("Question"=TBL_008_Qs_Lot_1[Type]),0)), "")</f>
        <v/>
      </c>
      <c r="L154" s="296" t="str">
        <f>IF($H$4="No", "Shade", IF(OR(TBL_SQ_Qs_Lot_1[[#This Row],[Question]]="Not used
", AND(TBL_SQ_Qs_Lot_1[[#This Row],[Type]]="Details", TBL_SQ_Qs_Lot_1[[#This Row],[Subs]]=0)), "Shade", ""))</f>
        <v>Shade</v>
      </c>
    </row>
    <row r="155" spans="1:12" ht="25" hidden="1" customHeight="1">
      <c r="A155" s="239" t="s">
        <v>728</v>
      </c>
      <c r="B155" s="84" t="str">
        <f t="array" ref="B15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5" s="234"/>
      <c r="D155" s="297" t="str">
        <f>IF(TBL_SQ_Qs_Lot_1[[#This Row],[Type]]="Question", IF(OR(TBL_SQ_Qs_Lot_1[[#This Row],[Shade?]]="Shade", TBL_SQ_Qs_Lot_1[[#This Row],[Question]]="Question not used
"), "", IF(TBL_SQ_Qs_Lot_1[[#This Row],[Response]]&lt;&gt;"", "Done", "Add")), "")</f>
        <v/>
      </c>
      <c r="E155" s="407" t="s">
        <v>779</v>
      </c>
      <c r="F155" s="296" t="str">
        <f t="array" ref="F155">IF(TBL_SQ_Qs_Lot_1[[#This Row],[Type]]="Details", INDEX(TBL_008_Qs_Lot_1[Word limit], MATCH(1, (TBL_SQ_Qs_Lot_1[[#This Row],[Q. No.]]=TBL_008_Qs_Lot_1[Q.])*("Question"=TBL_008_Qs_Lot_1[Type]),0)), "")</f>
        <v/>
      </c>
      <c r="G155" s="296" t="str">
        <f t="array" ref="G155">IF(TBL_SQ_Qs_Lot_1[[#This Row],[Type]]="Details", INDEX(TBL_008_Qs_Lot_1[Max score], MATCH(1, (TBL_SQ_Qs_Lot_1[[#This Row],[Q. No.]]=TBL_008_Qs_Lot_1[Q.])*("Question"=TBL_008_Qs_Lot_1[Type]),0)), "")</f>
        <v/>
      </c>
      <c r="H155" s="296" t="str">
        <f t="array" ref="H155">IF(TBL_SQ_Qs_Lot_1[[#This Row],[Type]]="Details", INDEX(TBL_008_Qs_Lot_1[No.subs], MATCH(1, (TBL_SQ_Qs_Lot_1[[#This Row],[Q. No.]]=TBL_008_Qs_Lot_1[Q.])*("Question"=TBL_008_Qs_Lot_1[Type]),0)), "")</f>
        <v/>
      </c>
      <c r="I155" s="296" t="str">
        <f t="array" ref="I15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5" s="296" t="str">
        <f t="array" ref="J15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5" s="296" t="str">
        <f t="array" ref="K155">IF(TBL_SQ_Qs_Lot_1[[#This Row],[Type]]="Details", INDEX(TBL_008_Qs_Lot_1[Weighting], MATCH(1, (TBL_SQ_Qs_Lot_1[[#This Row],[Q. No.]]=TBL_008_Qs_Lot_1[Q.])*("Question"=TBL_008_Qs_Lot_1[Type]),0)), "")</f>
        <v/>
      </c>
      <c r="L155" s="296" t="str">
        <f>IF($H$4="No", "Shade", IF(OR(TBL_SQ_Qs_Lot_1[[#This Row],[Question]]="Not used
", AND(TBL_SQ_Qs_Lot_1[[#This Row],[Type]]="Details", TBL_SQ_Qs_Lot_1[[#This Row],[Subs]]=0)), "Shade", ""))</f>
        <v>Shade</v>
      </c>
    </row>
    <row r="156" spans="1:12" ht="25" hidden="1" customHeight="1">
      <c r="A156" s="232" t="s">
        <v>729</v>
      </c>
      <c r="B156" s="86" t="str">
        <f t="array" ref="B15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6" s="235"/>
      <c r="D156" s="297" t="str">
        <f>IF(TBL_SQ_Qs_Lot_1[[#This Row],[Type]]="Question", IF(OR(TBL_SQ_Qs_Lot_1[[#This Row],[Shade?]]="Shade", TBL_SQ_Qs_Lot_1[[#This Row],[Question]]="Question not used
"), "", IF(TBL_SQ_Qs_Lot_1[[#This Row],[Response]]&lt;&gt;"", "Done", "Add")), "")</f>
        <v/>
      </c>
      <c r="E156" s="407" t="s">
        <v>779</v>
      </c>
      <c r="F156" s="296" t="str">
        <f t="array" ref="F156">IF(TBL_SQ_Qs_Lot_1[[#This Row],[Type]]="Details", INDEX(TBL_008_Qs_Lot_1[Word limit], MATCH(1, (TBL_SQ_Qs_Lot_1[[#This Row],[Q. No.]]=TBL_008_Qs_Lot_1[Q.])*("Question"=TBL_008_Qs_Lot_1[Type]),0)), "")</f>
        <v/>
      </c>
      <c r="G156" s="296" t="str">
        <f t="array" ref="G156">IF(TBL_SQ_Qs_Lot_1[[#This Row],[Type]]="Details", INDEX(TBL_008_Qs_Lot_1[Max score], MATCH(1, (TBL_SQ_Qs_Lot_1[[#This Row],[Q. No.]]=TBL_008_Qs_Lot_1[Q.])*("Question"=TBL_008_Qs_Lot_1[Type]),0)), "")</f>
        <v/>
      </c>
      <c r="H156" s="296" t="str">
        <f t="array" ref="H156">IF(TBL_SQ_Qs_Lot_1[[#This Row],[Type]]="Details", INDEX(TBL_008_Qs_Lot_1[No.subs], MATCH(1, (TBL_SQ_Qs_Lot_1[[#This Row],[Q. No.]]=TBL_008_Qs_Lot_1[Q.])*("Question"=TBL_008_Qs_Lot_1[Type]),0)), "")</f>
        <v/>
      </c>
      <c r="I156" s="296" t="str">
        <f t="array" ref="I15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6" s="296" t="str">
        <f t="array" ref="J15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6" s="296" t="str">
        <f t="array" ref="K156">IF(TBL_SQ_Qs_Lot_1[[#This Row],[Type]]="Details", INDEX(TBL_008_Qs_Lot_1[Weighting], MATCH(1, (TBL_SQ_Qs_Lot_1[[#This Row],[Q. No.]]=TBL_008_Qs_Lot_1[Q.])*("Question"=TBL_008_Qs_Lot_1[Type]),0)), "")</f>
        <v/>
      </c>
      <c r="L156" s="296" t="str">
        <f>IF($H$4="No", "Shade", IF(OR(TBL_SQ_Qs_Lot_1[[#This Row],[Question]]="Not used
", AND(TBL_SQ_Qs_Lot_1[[#This Row],[Type]]="Details", TBL_SQ_Qs_Lot_1[[#This Row],[Subs]]=0)), "Shade", ""))</f>
        <v>Shade</v>
      </c>
    </row>
    <row r="157" spans="1:12" ht="25" hidden="1" customHeight="1">
      <c r="A157" s="237" t="s">
        <v>730</v>
      </c>
      <c r="B157" s="219" t="str">
        <f t="array" ref="B15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7" s="297"/>
      <c r="D157" s="297" t="str">
        <f>IF(TBL_SQ_Qs_Lot_1[[#This Row],[Type]]="Question", IF(OR(TBL_SQ_Qs_Lot_1[[#This Row],[Shade?]]="Shade", TBL_SQ_Qs_Lot_1[[#This Row],[Question]]="Question not used
"), "", IF(TBL_SQ_Qs_Lot_1[[#This Row],[Response]]&lt;&gt;"", "Done", "Add")), "")</f>
        <v/>
      </c>
      <c r="E157" s="407" t="s">
        <v>209</v>
      </c>
      <c r="F157" s="296" t="str">
        <f t="array" ref="F157">IF(TBL_SQ_Qs_Lot_1[[#This Row],[Type]]="Details", INDEX(TBL_008_Qs_Lot_1[Word limit], MATCH(1, (TBL_SQ_Qs_Lot_1[[#This Row],[Q. No.]]=TBL_008_Qs_Lot_1[Q.])*("Question"=TBL_008_Qs_Lot_1[Type]),0)), "")</f>
        <v/>
      </c>
      <c r="G157" s="296" t="str">
        <f t="array" ref="G157">IF(TBL_SQ_Qs_Lot_1[[#This Row],[Type]]="Details", INDEX(TBL_008_Qs_Lot_1[Max score], MATCH(1, (TBL_SQ_Qs_Lot_1[[#This Row],[Q. No.]]=TBL_008_Qs_Lot_1[Q.])*("Question"=TBL_008_Qs_Lot_1[Type]),0)), "")</f>
        <v/>
      </c>
      <c r="H157" s="296" t="str">
        <f t="array" ref="H157">IF(TBL_SQ_Qs_Lot_1[[#This Row],[Type]]="Details", INDEX(TBL_008_Qs_Lot_1[No.subs], MATCH(1, (TBL_SQ_Qs_Lot_1[[#This Row],[Q. No.]]=TBL_008_Qs_Lot_1[Q.])*("Question"=TBL_008_Qs_Lot_1[Type]),0)), "")</f>
        <v/>
      </c>
      <c r="I157" s="296" t="str">
        <f t="array" ref="I15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7" s="296" t="str">
        <f t="array" ref="J15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7" s="296" t="str">
        <f t="array" ref="K157">IF(TBL_SQ_Qs_Lot_1[[#This Row],[Type]]="Details", INDEX(TBL_008_Qs_Lot_1[Weighting], MATCH(1, (TBL_SQ_Qs_Lot_1[[#This Row],[Q. No.]]=TBL_008_Qs_Lot_1[Q.])*("Question"=TBL_008_Qs_Lot_1[Type]),0)), "")</f>
        <v/>
      </c>
      <c r="L157" s="296" t="str">
        <f>IF($H$4="No", "Shade", IF(OR(TBL_SQ_Qs_Lot_1[[#This Row],[Question]]="Not used
", AND(TBL_SQ_Qs_Lot_1[[#This Row],[Type]]="Details", TBL_SQ_Qs_Lot_1[[#This Row],[Subs]]=0)), "Shade", ""))</f>
        <v>Shade</v>
      </c>
    </row>
    <row r="158" spans="1:12" ht="25" hidden="1" customHeight="1">
      <c r="A158" s="238" t="s">
        <v>730</v>
      </c>
      <c r="B158" s="220" t="str">
        <f t="array" ref="B15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Q6.12 should have a word count of not more than 0 words.
The maximum score for this question is 0.00 marks (0.00 elements x 5.00 marks)
</v>
      </c>
      <c r="C158" s="233"/>
      <c r="D158" s="297" t="str">
        <f>IF(TBL_SQ_Qs_Lot_1[[#This Row],[Type]]="Question", IF(OR(TBL_SQ_Qs_Lot_1[[#This Row],[Shade?]]="Shade", TBL_SQ_Qs_Lot_1[[#This Row],[Question]]="Question not used
"), "", IF(TBL_SQ_Qs_Lot_1[[#This Row],[Response]]&lt;&gt;"", "Done", "Add")), "")</f>
        <v/>
      </c>
      <c r="E158" s="407" t="s">
        <v>798</v>
      </c>
      <c r="F158" s="296">
        <f t="array" ref="F158">IF(TBL_SQ_Qs_Lot_1[[#This Row],[Type]]="Details", INDEX(TBL_008_Qs_Lot_1[Word limit], MATCH(1, (TBL_SQ_Qs_Lot_1[[#This Row],[Q. No.]]=TBL_008_Qs_Lot_1[Q.])*("Question"=TBL_008_Qs_Lot_1[Type]),0)), "")</f>
        <v>0</v>
      </c>
      <c r="G158" s="296">
        <f t="array" ref="G158">IF(TBL_SQ_Qs_Lot_1[[#This Row],[Type]]="Details", INDEX(TBL_008_Qs_Lot_1[Max score], MATCH(1, (TBL_SQ_Qs_Lot_1[[#This Row],[Q. No.]]=TBL_008_Qs_Lot_1[Q.])*("Question"=TBL_008_Qs_Lot_1[Type]),0)), "")</f>
        <v>0</v>
      </c>
      <c r="H158" s="296">
        <f t="array" ref="H158">IF(TBL_SQ_Qs_Lot_1[[#This Row],[Type]]="Details", INDEX(TBL_008_Qs_Lot_1[No.subs], MATCH(1, (TBL_SQ_Qs_Lot_1[[#This Row],[Q. No.]]=TBL_008_Qs_Lot_1[Q.])*("Question"=TBL_008_Qs_Lot_1[Type]),0)), "")</f>
        <v>0</v>
      </c>
      <c r="I158" s="296" t="str">
        <f t="array" ref="I15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8" s="296" t="str">
        <f t="array" ref="J15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8" s="296" t="str">
        <f t="array" ref="K158">IF(TBL_SQ_Qs_Lot_1[[#This Row],[Type]]="Details", INDEX(TBL_008_Qs_Lot_1[Weighting], MATCH(1, (TBL_SQ_Qs_Lot_1[[#This Row],[Q. No.]]=TBL_008_Qs_Lot_1[Q.])*("Question"=TBL_008_Qs_Lot_1[Type]),0)), "")</f>
        <v>N/A</v>
      </c>
      <c r="L158" s="296" t="str">
        <f>IF($H$4="No", "Shade", IF(OR(TBL_SQ_Qs_Lot_1[[#This Row],[Question]]="Not used
", AND(TBL_SQ_Qs_Lot_1[[#This Row],[Type]]="Details", TBL_SQ_Qs_Lot_1[[#This Row],[Subs]]=0)), "Shade", ""))</f>
        <v>Shade</v>
      </c>
    </row>
    <row r="159" spans="1:12" ht="25" hidden="1" customHeight="1">
      <c r="A159" s="239" t="s">
        <v>731</v>
      </c>
      <c r="B159" s="84" t="str">
        <f t="array" ref="B15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59" s="234"/>
      <c r="D159" s="297" t="str">
        <f>IF(TBL_SQ_Qs_Lot_1[[#This Row],[Type]]="Question", IF(OR(TBL_SQ_Qs_Lot_1[[#This Row],[Shade?]]="Shade", TBL_SQ_Qs_Lot_1[[#This Row],[Question]]="Question not used
"), "", IF(TBL_SQ_Qs_Lot_1[[#This Row],[Response]]&lt;&gt;"", "Done", "Add")), "")</f>
        <v/>
      </c>
      <c r="E159" s="407" t="s">
        <v>779</v>
      </c>
      <c r="F159" s="296" t="str">
        <f t="array" ref="F159">IF(TBL_SQ_Qs_Lot_1[[#This Row],[Type]]="Details", INDEX(TBL_008_Qs_Lot_1[Word limit], MATCH(1, (TBL_SQ_Qs_Lot_1[[#This Row],[Q. No.]]=TBL_008_Qs_Lot_1[Q.])*("Question"=TBL_008_Qs_Lot_1[Type]),0)), "")</f>
        <v/>
      </c>
      <c r="G159" s="296" t="str">
        <f t="array" ref="G159">IF(TBL_SQ_Qs_Lot_1[[#This Row],[Type]]="Details", INDEX(TBL_008_Qs_Lot_1[Max score], MATCH(1, (TBL_SQ_Qs_Lot_1[[#This Row],[Q. No.]]=TBL_008_Qs_Lot_1[Q.])*("Question"=TBL_008_Qs_Lot_1[Type]),0)), "")</f>
        <v/>
      </c>
      <c r="H159" s="296" t="str">
        <f t="array" ref="H159">IF(TBL_SQ_Qs_Lot_1[[#This Row],[Type]]="Details", INDEX(TBL_008_Qs_Lot_1[No.subs], MATCH(1, (TBL_SQ_Qs_Lot_1[[#This Row],[Q. No.]]=TBL_008_Qs_Lot_1[Q.])*("Question"=TBL_008_Qs_Lot_1[Type]),0)), "")</f>
        <v/>
      </c>
      <c r="I159" s="296" t="str">
        <f t="array" ref="I15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59" s="296" t="str">
        <f t="array" ref="J15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59" s="296" t="str">
        <f t="array" ref="K159">IF(TBL_SQ_Qs_Lot_1[[#This Row],[Type]]="Details", INDEX(TBL_008_Qs_Lot_1[Weighting], MATCH(1, (TBL_SQ_Qs_Lot_1[[#This Row],[Q. No.]]=TBL_008_Qs_Lot_1[Q.])*("Question"=TBL_008_Qs_Lot_1[Type]),0)), "")</f>
        <v/>
      </c>
      <c r="L159" s="296" t="str">
        <f>IF($H$4="No", "Shade", IF(OR(TBL_SQ_Qs_Lot_1[[#This Row],[Question]]="Not used
", AND(TBL_SQ_Qs_Lot_1[[#This Row],[Type]]="Details", TBL_SQ_Qs_Lot_1[[#This Row],[Subs]]=0)), "Shade", ""))</f>
        <v>Shade</v>
      </c>
    </row>
    <row r="160" spans="1:12" ht="25" hidden="1" customHeight="1">
      <c r="A160" s="239" t="s">
        <v>732</v>
      </c>
      <c r="B160" s="84" t="str">
        <f t="array" ref="B16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0" s="234"/>
      <c r="D160" s="297" t="str">
        <f>IF(TBL_SQ_Qs_Lot_1[[#This Row],[Type]]="Question", IF(OR(TBL_SQ_Qs_Lot_1[[#This Row],[Shade?]]="Shade", TBL_SQ_Qs_Lot_1[[#This Row],[Question]]="Question not used
"), "", IF(TBL_SQ_Qs_Lot_1[[#This Row],[Response]]&lt;&gt;"", "Done", "Add")), "")</f>
        <v/>
      </c>
      <c r="E160" s="407" t="s">
        <v>779</v>
      </c>
      <c r="F160" s="296" t="str">
        <f t="array" ref="F160">IF(TBL_SQ_Qs_Lot_1[[#This Row],[Type]]="Details", INDEX(TBL_008_Qs_Lot_1[Word limit], MATCH(1, (TBL_SQ_Qs_Lot_1[[#This Row],[Q. No.]]=TBL_008_Qs_Lot_1[Q.])*("Question"=TBL_008_Qs_Lot_1[Type]),0)), "")</f>
        <v/>
      </c>
      <c r="G160" s="296" t="str">
        <f t="array" ref="G160">IF(TBL_SQ_Qs_Lot_1[[#This Row],[Type]]="Details", INDEX(TBL_008_Qs_Lot_1[Max score], MATCH(1, (TBL_SQ_Qs_Lot_1[[#This Row],[Q. No.]]=TBL_008_Qs_Lot_1[Q.])*("Question"=TBL_008_Qs_Lot_1[Type]),0)), "")</f>
        <v/>
      </c>
      <c r="H160" s="296" t="str">
        <f t="array" ref="H160">IF(TBL_SQ_Qs_Lot_1[[#This Row],[Type]]="Details", INDEX(TBL_008_Qs_Lot_1[No.subs], MATCH(1, (TBL_SQ_Qs_Lot_1[[#This Row],[Q. No.]]=TBL_008_Qs_Lot_1[Q.])*("Question"=TBL_008_Qs_Lot_1[Type]),0)), "")</f>
        <v/>
      </c>
      <c r="I160" s="296" t="str">
        <f t="array" ref="I16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0" s="296" t="str">
        <f t="array" ref="J16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0" s="296" t="str">
        <f t="array" ref="K160">IF(TBL_SQ_Qs_Lot_1[[#This Row],[Type]]="Details", INDEX(TBL_008_Qs_Lot_1[Weighting], MATCH(1, (TBL_SQ_Qs_Lot_1[[#This Row],[Q. No.]]=TBL_008_Qs_Lot_1[Q.])*("Question"=TBL_008_Qs_Lot_1[Type]),0)), "")</f>
        <v/>
      </c>
      <c r="L160" s="296" t="str">
        <f>IF($H$4="No", "Shade", IF(OR(TBL_SQ_Qs_Lot_1[[#This Row],[Question]]="Not used
", AND(TBL_SQ_Qs_Lot_1[[#This Row],[Type]]="Details", TBL_SQ_Qs_Lot_1[[#This Row],[Subs]]=0)), "Shade", ""))</f>
        <v>Shade</v>
      </c>
    </row>
    <row r="161" spans="1:12" ht="25" hidden="1" customHeight="1">
      <c r="A161" s="239" t="s">
        <v>733</v>
      </c>
      <c r="B161" s="84" t="str">
        <f t="array" ref="B16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1" s="234"/>
      <c r="D161" s="297" t="str">
        <f>IF(TBL_SQ_Qs_Lot_1[[#This Row],[Type]]="Question", IF(OR(TBL_SQ_Qs_Lot_1[[#This Row],[Shade?]]="Shade", TBL_SQ_Qs_Lot_1[[#This Row],[Question]]="Question not used
"), "", IF(TBL_SQ_Qs_Lot_1[[#This Row],[Response]]&lt;&gt;"", "Done", "Add")), "")</f>
        <v/>
      </c>
      <c r="E161" s="407" t="s">
        <v>779</v>
      </c>
      <c r="F161" s="296" t="str">
        <f t="array" ref="F161">IF(TBL_SQ_Qs_Lot_1[[#This Row],[Type]]="Details", INDEX(TBL_008_Qs_Lot_1[Word limit], MATCH(1, (TBL_SQ_Qs_Lot_1[[#This Row],[Q. No.]]=TBL_008_Qs_Lot_1[Q.])*("Question"=TBL_008_Qs_Lot_1[Type]),0)), "")</f>
        <v/>
      </c>
      <c r="G161" s="296" t="str">
        <f t="array" ref="G161">IF(TBL_SQ_Qs_Lot_1[[#This Row],[Type]]="Details", INDEX(TBL_008_Qs_Lot_1[Max score], MATCH(1, (TBL_SQ_Qs_Lot_1[[#This Row],[Q. No.]]=TBL_008_Qs_Lot_1[Q.])*("Question"=TBL_008_Qs_Lot_1[Type]),0)), "")</f>
        <v/>
      </c>
      <c r="H161" s="296" t="str">
        <f t="array" ref="H161">IF(TBL_SQ_Qs_Lot_1[[#This Row],[Type]]="Details", INDEX(TBL_008_Qs_Lot_1[No.subs], MATCH(1, (TBL_SQ_Qs_Lot_1[[#This Row],[Q. No.]]=TBL_008_Qs_Lot_1[Q.])*("Question"=TBL_008_Qs_Lot_1[Type]),0)), "")</f>
        <v/>
      </c>
      <c r="I161" s="296" t="str">
        <f t="array" ref="I16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1" s="296" t="str">
        <f t="array" ref="J16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1" s="296" t="str">
        <f t="array" ref="K161">IF(TBL_SQ_Qs_Lot_1[[#This Row],[Type]]="Details", INDEX(TBL_008_Qs_Lot_1[Weighting], MATCH(1, (TBL_SQ_Qs_Lot_1[[#This Row],[Q. No.]]=TBL_008_Qs_Lot_1[Q.])*("Question"=TBL_008_Qs_Lot_1[Type]),0)), "")</f>
        <v/>
      </c>
      <c r="L161" s="296" t="str">
        <f>IF($H$4="No", "Shade", IF(OR(TBL_SQ_Qs_Lot_1[[#This Row],[Question]]="Not used
", AND(TBL_SQ_Qs_Lot_1[[#This Row],[Type]]="Details", TBL_SQ_Qs_Lot_1[[#This Row],[Subs]]=0)), "Shade", ""))</f>
        <v>Shade</v>
      </c>
    </row>
    <row r="162" spans="1:12" ht="25" hidden="1" customHeight="1">
      <c r="A162" s="239" t="s">
        <v>734</v>
      </c>
      <c r="B162" s="84" t="str">
        <f t="array" ref="B16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2" s="234"/>
      <c r="D162" s="297" t="str">
        <f>IF(TBL_SQ_Qs_Lot_1[[#This Row],[Type]]="Question", IF(OR(TBL_SQ_Qs_Lot_1[[#This Row],[Shade?]]="Shade", TBL_SQ_Qs_Lot_1[[#This Row],[Question]]="Question not used
"), "", IF(TBL_SQ_Qs_Lot_1[[#This Row],[Response]]&lt;&gt;"", "Done", "Add")), "")</f>
        <v/>
      </c>
      <c r="E162" s="407" t="s">
        <v>779</v>
      </c>
      <c r="F162" s="296" t="str">
        <f t="array" ref="F162">IF(TBL_SQ_Qs_Lot_1[[#This Row],[Type]]="Details", INDEX(TBL_008_Qs_Lot_1[Word limit], MATCH(1, (TBL_SQ_Qs_Lot_1[[#This Row],[Q. No.]]=TBL_008_Qs_Lot_1[Q.])*("Question"=TBL_008_Qs_Lot_1[Type]),0)), "")</f>
        <v/>
      </c>
      <c r="G162" s="296" t="str">
        <f t="array" ref="G162">IF(TBL_SQ_Qs_Lot_1[[#This Row],[Type]]="Details", INDEX(TBL_008_Qs_Lot_1[Max score], MATCH(1, (TBL_SQ_Qs_Lot_1[[#This Row],[Q. No.]]=TBL_008_Qs_Lot_1[Q.])*("Question"=TBL_008_Qs_Lot_1[Type]),0)), "")</f>
        <v/>
      </c>
      <c r="H162" s="296" t="str">
        <f t="array" ref="H162">IF(TBL_SQ_Qs_Lot_1[[#This Row],[Type]]="Details", INDEX(TBL_008_Qs_Lot_1[No.subs], MATCH(1, (TBL_SQ_Qs_Lot_1[[#This Row],[Q. No.]]=TBL_008_Qs_Lot_1[Q.])*("Question"=TBL_008_Qs_Lot_1[Type]),0)), "")</f>
        <v/>
      </c>
      <c r="I162" s="296" t="str">
        <f t="array" ref="I16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2" s="296" t="str">
        <f t="array" ref="J16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2" s="296" t="str">
        <f t="array" ref="K162">IF(TBL_SQ_Qs_Lot_1[[#This Row],[Type]]="Details", INDEX(TBL_008_Qs_Lot_1[Weighting], MATCH(1, (TBL_SQ_Qs_Lot_1[[#This Row],[Q. No.]]=TBL_008_Qs_Lot_1[Q.])*("Question"=TBL_008_Qs_Lot_1[Type]),0)), "")</f>
        <v/>
      </c>
      <c r="L162" s="296" t="str">
        <f>IF($H$4="No", "Shade", IF(OR(TBL_SQ_Qs_Lot_1[[#This Row],[Question]]="Not used
", AND(TBL_SQ_Qs_Lot_1[[#This Row],[Type]]="Details", TBL_SQ_Qs_Lot_1[[#This Row],[Subs]]=0)), "Shade", ""))</f>
        <v>Shade</v>
      </c>
    </row>
    <row r="163" spans="1:12" ht="25" hidden="1" customHeight="1">
      <c r="A163" s="239" t="s">
        <v>735</v>
      </c>
      <c r="B163" s="84" t="str">
        <f t="array" ref="B16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3" s="234"/>
      <c r="D163" s="297" t="str">
        <f>IF(TBL_SQ_Qs_Lot_1[[#This Row],[Type]]="Question", IF(OR(TBL_SQ_Qs_Lot_1[[#This Row],[Shade?]]="Shade", TBL_SQ_Qs_Lot_1[[#This Row],[Question]]="Question not used
"), "", IF(TBL_SQ_Qs_Lot_1[[#This Row],[Response]]&lt;&gt;"", "Done", "Add")), "")</f>
        <v/>
      </c>
      <c r="E163" s="407" t="s">
        <v>779</v>
      </c>
      <c r="F163" s="296" t="str">
        <f t="array" ref="F163">IF(TBL_SQ_Qs_Lot_1[[#This Row],[Type]]="Details", INDEX(TBL_008_Qs_Lot_1[Word limit], MATCH(1, (TBL_SQ_Qs_Lot_1[[#This Row],[Q. No.]]=TBL_008_Qs_Lot_1[Q.])*("Question"=TBL_008_Qs_Lot_1[Type]),0)), "")</f>
        <v/>
      </c>
      <c r="G163" s="296" t="str">
        <f t="array" ref="G163">IF(TBL_SQ_Qs_Lot_1[[#This Row],[Type]]="Details", INDEX(TBL_008_Qs_Lot_1[Max score], MATCH(1, (TBL_SQ_Qs_Lot_1[[#This Row],[Q. No.]]=TBL_008_Qs_Lot_1[Q.])*("Question"=TBL_008_Qs_Lot_1[Type]),0)), "")</f>
        <v/>
      </c>
      <c r="H163" s="296" t="str">
        <f t="array" ref="H163">IF(TBL_SQ_Qs_Lot_1[[#This Row],[Type]]="Details", INDEX(TBL_008_Qs_Lot_1[No.subs], MATCH(1, (TBL_SQ_Qs_Lot_1[[#This Row],[Q. No.]]=TBL_008_Qs_Lot_1[Q.])*("Question"=TBL_008_Qs_Lot_1[Type]),0)), "")</f>
        <v/>
      </c>
      <c r="I163" s="296" t="str">
        <f t="array" ref="I16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3" s="296" t="str">
        <f t="array" ref="J16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3" s="296" t="str">
        <f t="array" ref="K163">IF(TBL_SQ_Qs_Lot_1[[#This Row],[Type]]="Details", INDEX(TBL_008_Qs_Lot_1[Weighting], MATCH(1, (TBL_SQ_Qs_Lot_1[[#This Row],[Q. No.]]=TBL_008_Qs_Lot_1[Q.])*("Question"=TBL_008_Qs_Lot_1[Type]),0)), "")</f>
        <v/>
      </c>
      <c r="L163" s="296" t="str">
        <f>IF($H$4="No", "Shade", IF(OR(TBL_SQ_Qs_Lot_1[[#This Row],[Question]]="Not used
", AND(TBL_SQ_Qs_Lot_1[[#This Row],[Type]]="Details", TBL_SQ_Qs_Lot_1[[#This Row],[Subs]]=0)), "Shade", ""))</f>
        <v>Shade</v>
      </c>
    </row>
    <row r="164" spans="1:12" ht="25" hidden="1" customHeight="1">
      <c r="A164" s="239" t="s">
        <v>736</v>
      </c>
      <c r="B164" s="84" t="str">
        <f t="array" ref="B16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4" s="234"/>
      <c r="D164" s="297" t="str">
        <f>IF(TBL_SQ_Qs_Lot_1[[#This Row],[Type]]="Question", IF(OR(TBL_SQ_Qs_Lot_1[[#This Row],[Shade?]]="Shade", TBL_SQ_Qs_Lot_1[[#This Row],[Question]]="Question not used
"), "", IF(TBL_SQ_Qs_Lot_1[[#This Row],[Response]]&lt;&gt;"", "Done", "Add")), "")</f>
        <v/>
      </c>
      <c r="E164" s="407" t="s">
        <v>779</v>
      </c>
      <c r="F164" s="296" t="str">
        <f t="array" ref="F164">IF(TBL_SQ_Qs_Lot_1[[#This Row],[Type]]="Details", INDEX(TBL_008_Qs_Lot_1[Word limit], MATCH(1, (TBL_SQ_Qs_Lot_1[[#This Row],[Q. No.]]=TBL_008_Qs_Lot_1[Q.])*("Question"=TBL_008_Qs_Lot_1[Type]),0)), "")</f>
        <v/>
      </c>
      <c r="G164" s="296" t="str">
        <f t="array" ref="G164">IF(TBL_SQ_Qs_Lot_1[[#This Row],[Type]]="Details", INDEX(TBL_008_Qs_Lot_1[Max score], MATCH(1, (TBL_SQ_Qs_Lot_1[[#This Row],[Q. No.]]=TBL_008_Qs_Lot_1[Q.])*("Question"=TBL_008_Qs_Lot_1[Type]),0)), "")</f>
        <v/>
      </c>
      <c r="H164" s="296" t="str">
        <f t="array" ref="H164">IF(TBL_SQ_Qs_Lot_1[[#This Row],[Type]]="Details", INDEX(TBL_008_Qs_Lot_1[No.subs], MATCH(1, (TBL_SQ_Qs_Lot_1[[#This Row],[Q. No.]]=TBL_008_Qs_Lot_1[Q.])*("Question"=TBL_008_Qs_Lot_1[Type]),0)), "")</f>
        <v/>
      </c>
      <c r="I164" s="296" t="str">
        <f t="array" ref="I16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4" s="296" t="str">
        <f t="array" ref="J16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4" s="296" t="str">
        <f t="array" ref="K164">IF(TBL_SQ_Qs_Lot_1[[#This Row],[Type]]="Details", INDEX(TBL_008_Qs_Lot_1[Weighting], MATCH(1, (TBL_SQ_Qs_Lot_1[[#This Row],[Q. No.]]=TBL_008_Qs_Lot_1[Q.])*("Question"=TBL_008_Qs_Lot_1[Type]),0)), "")</f>
        <v/>
      </c>
      <c r="L164" s="296" t="str">
        <f>IF($H$4="No", "Shade", IF(OR(TBL_SQ_Qs_Lot_1[[#This Row],[Question]]="Not used
", AND(TBL_SQ_Qs_Lot_1[[#This Row],[Type]]="Details", TBL_SQ_Qs_Lot_1[[#This Row],[Subs]]=0)), "Shade", ""))</f>
        <v>Shade</v>
      </c>
    </row>
    <row r="165" spans="1:12" ht="25" hidden="1" customHeight="1">
      <c r="A165" s="239" t="s">
        <v>737</v>
      </c>
      <c r="B165" s="84" t="str">
        <f t="array" ref="B16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5" s="234"/>
      <c r="D165" s="297" t="str">
        <f>IF(TBL_SQ_Qs_Lot_1[[#This Row],[Type]]="Question", IF(OR(TBL_SQ_Qs_Lot_1[[#This Row],[Shade?]]="Shade", TBL_SQ_Qs_Lot_1[[#This Row],[Question]]="Question not used
"), "", IF(TBL_SQ_Qs_Lot_1[[#This Row],[Response]]&lt;&gt;"", "Done", "Add")), "")</f>
        <v/>
      </c>
      <c r="E165" s="407" t="s">
        <v>779</v>
      </c>
      <c r="F165" s="296" t="str">
        <f t="array" ref="F165">IF(TBL_SQ_Qs_Lot_1[[#This Row],[Type]]="Details", INDEX(TBL_008_Qs_Lot_1[Word limit], MATCH(1, (TBL_SQ_Qs_Lot_1[[#This Row],[Q. No.]]=TBL_008_Qs_Lot_1[Q.])*("Question"=TBL_008_Qs_Lot_1[Type]),0)), "")</f>
        <v/>
      </c>
      <c r="G165" s="296" t="str">
        <f t="array" ref="G165">IF(TBL_SQ_Qs_Lot_1[[#This Row],[Type]]="Details", INDEX(TBL_008_Qs_Lot_1[Max score], MATCH(1, (TBL_SQ_Qs_Lot_1[[#This Row],[Q. No.]]=TBL_008_Qs_Lot_1[Q.])*("Question"=TBL_008_Qs_Lot_1[Type]),0)), "")</f>
        <v/>
      </c>
      <c r="H165" s="296" t="str">
        <f t="array" ref="H165">IF(TBL_SQ_Qs_Lot_1[[#This Row],[Type]]="Details", INDEX(TBL_008_Qs_Lot_1[No.subs], MATCH(1, (TBL_SQ_Qs_Lot_1[[#This Row],[Q. No.]]=TBL_008_Qs_Lot_1[Q.])*("Question"=TBL_008_Qs_Lot_1[Type]),0)), "")</f>
        <v/>
      </c>
      <c r="I165" s="296" t="str">
        <f t="array" ref="I16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5" s="296" t="str">
        <f t="array" ref="J16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5" s="296" t="str">
        <f t="array" ref="K165">IF(TBL_SQ_Qs_Lot_1[[#This Row],[Type]]="Details", INDEX(TBL_008_Qs_Lot_1[Weighting], MATCH(1, (TBL_SQ_Qs_Lot_1[[#This Row],[Q. No.]]=TBL_008_Qs_Lot_1[Q.])*("Question"=TBL_008_Qs_Lot_1[Type]),0)), "")</f>
        <v/>
      </c>
      <c r="L165" s="296" t="str">
        <f>IF($H$4="No", "Shade", IF(OR(TBL_SQ_Qs_Lot_1[[#This Row],[Question]]="Not used
", AND(TBL_SQ_Qs_Lot_1[[#This Row],[Type]]="Details", TBL_SQ_Qs_Lot_1[[#This Row],[Subs]]=0)), "Shade", ""))</f>
        <v>Shade</v>
      </c>
    </row>
    <row r="166" spans="1:12" ht="25" hidden="1" customHeight="1">
      <c r="A166" s="239" t="s">
        <v>738</v>
      </c>
      <c r="B166" s="84" t="str">
        <f t="array" ref="B16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6" s="234"/>
      <c r="D166" s="297" t="str">
        <f>IF(TBL_SQ_Qs_Lot_1[[#This Row],[Type]]="Question", IF(OR(TBL_SQ_Qs_Lot_1[[#This Row],[Shade?]]="Shade", TBL_SQ_Qs_Lot_1[[#This Row],[Question]]="Question not used
"), "", IF(TBL_SQ_Qs_Lot_1[[#This Row],[Response]]&lt;&gt;"", "Done", "Add")), "")</f>
        <v/>
      </c>
      <c r="E166" s="407" t="s">
        <v>779</v>
      </c>
      <c r="F166" s="296" t="str">
        <f t="array" ref="F166">IF(TBL_SQ_Qs_Lot_1[[#This Row],[Type]]="Details", INDEX(TBL_008_Qs_Lot_1[Word limit], MATCH(1, (TBL_SQ_Qs_Lot_1[[#This Row],[Q. No.]]=TBL_008_Qs_Lot_1[Q.])*("Question"=TBL_008_Qs_Lot_1[Type]),0)), "")</f>
        <v/>
      </c>
      <c r="G166" s="296" t="str">
        <f t="array" ref="G166">IF(TBL_SQ_Qs_Lot_1[[#This Row],[Type]]="Details", INDEX(TBL_008_Qs_Lot_1[Max score], MATCH(1, (TBL_SQ_Qs_Lot_1[[#This Row],[Q. No.]]=TBL_008_Qs_Lot_1[Q.])*("Question"=TBL_008_Qs_Lot_1[Type]),0)), "")</f>
        <v/>
      </c>
      <c r="H166" s="296" t="str">
        <f t="array" ref="H166">IF(TBL_SQ_Qs_Lot_1[[#This Row],[Type]]="Details", INDEX(TBL_008_Qs_Lot_1[No.subs], MATCH(1, (TBL_SQ_Qs_Lot_1[[#This Row],[Q. No.]]=TBL_008_Qs_Lot_1[Q.])*("Question"=TBL_008_Qs_Lot_1[Type]),0)), "")</f>
        <v/>
      </c>
      <c r="I166" s="296" t="str">
        <f t="array" ref="I16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6" s="296" t="str">
        <f t="array" ref="J16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6" s="296" t="str">
        <f t="array" ref="K166">IF(TBL_SQ_Qs_Lot_1[[#This Row],[Type]]="Details", INDEX(TBL_008_Qs_Lot_1[Weighting], MATCH(1, (TBL_SQ_Qs_Lot_1[[#This Row],[Q. No.]]=TBL_008_Qs_Lot_1[Q.])*("Question"=TBL_008_Qs_Lot_1[Type]),0)), "")</f>
        <v/>
      </c>
      <c r="L166" s="296" t="str">
        <f>IF($H$4="No", "Shade", IF(OR(TBL_SQ_Qs_Lot_1[[#This Row],[Question]]="Not used
", AND(TBL_SQ_Qs_Lot_1[[#This Row],[Type]]="Details", TBL_SQ_Qs_Lot_1[[#This Row],[Subs]]=0)), "Shade", ""))</f>
        <v>Shade</v>
      </c>
    </row>
    <row r="167" spans="1:12" ht="25" hidden="1" customHeight="1">
      <c r="A167" s="239" t="s">
        <v>739</v>
      </c>
      <c r="B167" s="84" t="str">
        <f t="array" ref="B16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7" s="234"/>
      <c r="D167" s="297" t="str">
        <f>IF(TBL_SQ_Qs_Lot_1[[#This Row],[Type]]="Question", IF(OR(TBL_SQ_Qs_Lot_1[[#This Row],[Shade?]]="Shade", TBL_SQ_Qs_Lot_1[[#This Row],[Question]]="Question not used
"), "", IF(TBL_SQ_Qs_Lot_1[[#This Row],[Response]]&lt;&gt;"", "Done", "Add")), "")</f>
        <v/>
      </c>
      <c r="E167" s="407" t="s">
        <v>779</v>
      </c>
      <c r="F167" s="296" t="str">
        <f t="array" ref="F167">IF(TBL_SQ_Qs_Lot_1[[#This Row],[Type]]="Details", INDEX(TBL_008_Qs_Lot_1[Word limit], MATCH(1, (TBL_SQ_Qs_Lot_1[[#This Row],[Q. No.]]=TBL_008_Qs_Lot_1[Q.])*("Question"=TBL_008_Qs_Lot_1[Type]),0)), "")</f>
        <v/>
      </c>
      <c r="G167" s="296" t="str">
        <f t="array" ref="G167">IF(TBL_SQ_Qs_Lot_1[[#This Row],[Type]]="Details", INDEX(TBL_008_Qs_Lot_1[Max score], MATCH(1, (TBL_SQ_Qs_Lot_1[[#This Row],[Q. No.]]=TBL_008_Qs_Lot_1[Q.])*("Question"=TBL_008_Qs_Lot_1[Type]),0)), "")</f>
        <v/>
      </c>
      <c r="H167" s="296" t="str">
        <f t="array" ref="H167">IF(TBL_SQ_Qs_Lot_1[[#This Row],[Type]]="Details", INDEX(TBL_008_Qs_Lot_1[No.subs], MATCH(1, (TBL_SQ_Qs_Lot_1[[#This Row],[Q. No.]]=TBL_008_Qs_Lot_1[Q.])*("Question"=TBL_008_Qs_Lot_1[Type]),0)), "")</f>
        <v/>
      </c>
      <c r="I167" s="296" t="str">
        <f t="array" ref="I16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7" s="296" t="str">
        <f t="array" ref="J16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7" s="296" t="str">
        <f t="array" ref="K167">IF(TBL_SQ_Qs_Lot_1[[#This Row],[Type]]="Details", INDEX(TBL_008_Qs_Lot_1[Weighting], MATCH(1, (TBL_SQ_Qs_Lot_1[[#This Row],[Q. No.]]=TBL_008_Qs_Lot_1[Q.])*("Question"=TBL_008_Qs_Lot_1[Type]),0)), "")</f>
        <v/>
      </c>
      <c r="L167" s="296" t="str">
        <f>IF($H$4="No", "Shade", IF(OR(TBL_SQ_Qs_Lot_1[[#This Row],[Question]]="Not used
", AND(TBL_SQ_Qs_Lot_1[[#This Row],[Type]]="Details", TBL_SQ_Qs_Lot_1[[#This Row],[Subs]]=0)), "Shade", ""))</f>
        <v>Shade</v>
      </c>
    </row>
    <row r="168" spans="1:12" ht="25" hidden="1" customHeight="1">
      <c r="A168" s="232" t="s">
        <v>740</v>
      </c>
      <c r="B168" s="86" t="str">
        <f t="array" ref="B16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8" s="235"/>
      <c r="D168" s="297" t="str">
        <f>IF(TBL_SQ_Qs_Lot_1[[#This Row],[Type]]="Question", IF(OR(TBL_SQ_Qs_Lot_1[[#This Row],[Shade?]]="Shade", TBL_SQ_Qs_Lot_1[[#This Row],[Question]]="Question not used
"), "", IF(TBL_SQ_Qs_Lot_1[[#This Row],[Response]]&lt;&gt;"", "Done", "Add")), "")</f>
        <v/>
      </c>
      <c r="E168" s="407" t="s">
        <v>779</v>
      </c>
      <c r="F168" s="296" t="str">
        <f t="array" ref="F168">IF(TBL_SQ_Qs_Lot_1[[#This Row],[Type]]="Details", INDEX(TBL_008_Qs_Lot_1[Word limit], MATCH(1, (TBL_SQ_Qs_Lot_1[[#This Row],[Q. No.]]=TBL_008_Qs_Lot_1[Q.])*("Question"=TBL_008_Qs_Lot_1[Type]),0)), "")</f>
        <v/>
      </c>
      <c r="G168" s="296" t="str">
        <f t="array" ref="G168">IF(TBL_SQ_Qs_Lot_1[[#This Row],[Type]]="Details", INDEX(TBL_008_Qs_Lot_1[Max score], MATCH(1, (TBL_SQ_Qs_Lot_1[[#This Row],[Q. No.]]=TBL_008_Qs_Lot_1[Q.])*("Question"=TBL_008_Qs_Lot_1[Type]),0)), "")</f>
        <v/>
      </c>
      <c r="H168" s="296" t="str">
        <f t="array" ref="H168">IF(TBL_SQ_Qs_Lot_1[[#This Row],[Type]]="Details", INDEX(TBL_008_Qs_Lot_1[No.subs], MATCH(1, (TBL_SQ_Qs_Lot_1[[#This Row],[Q. No.]]=TBL_008_Qs_Lot_1[Q.])*("Question"=TBL_008_Qs_Lot_1[Type]),0)), "")</f>
        <v/>
      </c>
      <c r="I168" s="296" t="str">
        <f t="array" ref="I16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8" s="296" t="str">
        <f t="array" ref="J16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8" s="296" t="str">
        <f t="array" ref="K168">IF(TBL_SQ_Qs_Lot_1[[#This Row],[Type]]="Details", INDEX(TBL_008_Qs_Lot_1[Weighting], MATCH(1, (TBL_SQ_Qs_Lot_1[[#This Row],[Q. No.]]=TBL_008_Qs_Lot_1[Q.])*("Question"=TBL_008_Qs_Lot_1[Type]),0)), "")</f>
        <v/>
      </c>
      <c r="L168" s="296" t="str">
        <f>IF($H$4="No", "Shade", IF(OR(TBL_SQ_Qs_Lot_1[[#This Row],[Question]]="Not used
", AND(TBL_SQ_Qs_Lot_1[[#This Row],[Type]]="Details", TBL_SQ_Qs_Lot_1[[#This Row],[Subs]]=0)), "Shade", ""))</f>
        <v>Shade</v>
      </c>
    </row>
    <row r="169" spans="1:12" ht="25" hidden="1" customHeight="1">
      <c r="A169" s="237" t="s">
        <v>741</v>
      </c>
      <c r="B169" s="219" t="str">
        <f t="array" ref="B16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69" s="297"/>
      <c r="D169" s="297" t="str">
        <f>IF(TBL_SQ_Qs_Lot_1[[#This Row],[Type]]="Question", IF(OR(TBL_SQ_Qs_Lot_1[[#This Row],[Shade?]]="Shade", TBL_SQ_Qs_Lot_1[[#This Row],[Question]]="Question not used
"), "", IF(TBL_SQ_Qs_Lot_1[[#This Row],[Response]]&lt;&gt;"", "Done", "Add")), "")</f>
        <v/>
      </c>
      <c r="E169" s="407" t="s">
        <v>209</v>
      </c>
      <c r="F169" s="296" t="str">
        <f t="array" ref="F169">IF(TBL_SQ_Qs_Lot_1[[#This Row],[Type]]="Details", INDEX(TBL_008_Qs_Lot_1[Word limit], MATCH(1, (TBL_SQ_Qs_Lot_1[[#This Row],[Q. No.]]=TBL_008_Qs_Lot_1[Q.])*("Question"=TBL_008_Qs_Lot_1[Type]),0)), "")</f>
        <v/>
      </c>
      <c r="G169" s="296" t="str">
        <f t="array" ref="G169">IF(TBL_SQ_Qs_Lot_1[[#This Row],[Type]]="Details", INDEX(TBL_008_Qs_Lot_1[Max score], MATCH(1, (TBL_SQ_Qs_Lot_1[[#This Row],[Q. No.]]=TBL_008_Qs_Lot_1[Q.])*("Question"=TBL_008_Qs_Lot_1[Type]),0)), "")</f>
        <v/>
      </c>
      <c r="H169" s="296" t="str">
        <f t="array" ref="H169">IF(TBL_SQ_Qs_Lot_1[[#This Row],[Type]]="Details", INDEX(TBL_008_Qs_Lot_1[No.subs], MATCH(1, (TBL_SQ_Qs_Lot_1[[#This Row],[Q. No.]]=TBL_008_Qs_Lot_1[Q.])*("Question"=TBL_008_Qs_Lot_1[Type]),0)), "")</f>
        <v/>
      </c>
      <c r="I169" s="296" t="str">
        <f t="array" ref="I16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69" s="296" t="str">
        <f t="array" ref="J16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69" s="296" t="str">
        <f t="array" ref="K169">IF(TBL_SQ_Qs_Lot_1[[#This Row],[Type]]="Details", INDEX(TBL_008_Qs_Lot_1[Weighting], MATCH(1, (TBL_SQ_Qs_Lot_1[[#This Row],[Q. No.]]=TBL_008_Qs_Lot_1[Q.])*("Question"=TBL_008_Qs_Lot_1[Type]),0)), "")</f>
        <v/>
      </c>
      <c r="L169" s="296" t="str">
        <f>IF($H$4="No", "Shade", IF(OR(TBL_SQ_Qs_Lot_1[[#This Row],[Question]]="Not used
", AND(TBL_SQ_Qs_Lot_1[[#This Row],[Type]]="Details", TBL_SQ_Qs_Lot_1[[#This Row],[Subs]]=0)), "Shade", ""))</f>
        <v>Shade</v>
      </c>
    </row>
    <row r="170" spans="1:12" ht="25" hidden="1" customHeight="1">
      <c r="A170" s="238" t="s">
        <v>741</v>
      </c>
      <c r="B170" s="220" t="str">
        <f t="array" ref="B17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The response to Q6.13 should have a word count of not more than 0 words.
The maximum score for this question is 0.00 marks (0.00 elements x 5.00 marks)
</v>
      </c>
      <c r="C170" s="233"/>
      <c r="D170" s="297" t="str">
        <f>IF(TBL_SQ_Qs_Lot_1[[#This Row],[Type]]="Question", IF(OR(TBL_SQ_Qs_Lot_1[[#This Row],[Shade?]]="Shade", TBL_SQ_Qs_Lot_1[[#This Row],[Question]]="Question not used
"), "", IF(TBL_SQ_Qs_Lot_1[[#This Row],[Response]]&lt;&gt;"", "Done", "Add")), "")</f>
        <v/>
      </c>
      <c r="E170" s="407" t="s">
        <v>798</v>
      </c>
      <c r="F170" s="296">
        <f t="array" ref="F170">IF(TBL_SQ_Qs_Lot_1[[#This Row],[Type]]="Details", INDEX(TBL_008_Qs_Lot_1[Word limit], MATCH(1, (TBL_SQ_Qs_Lot_1[[#This Row],[Q. No.]]=TBL_008_Qs_Lot_1[Q.])*("Question"=TBL_008_Qs_Lot_1[Type]),0)), "")</f>
        <v>0</v>
      </c>
      <c r="G170" s="296">
        <f t="array" ref="G170">IF(TBL_SQ_Qs_Lot_1[[#This Row],[Type]]="Details", INDEX(TBL_008_Qs_Lot_1[Max score], MATCH(1, (TBL_SQ_Qs_Lot_1[[#This Row],[Q. No.]]=TBL_008_Qs_Lot_1[Q.])*("Question"=TBL_008_Qs_Lot_1[Type]),0)), "")</f>
        <v>0</v>
      </c>
      <c r="H170" s="296">
        <f t="array" ref="H170">IF(TBL_SQ_Qs_Lot_1[[#This Row],[Type]]="Details", INDEX(TBL_008_Qs_Lot_1[No.subs], MATCH(1, (TBL_SQ_Qs_Lot_1[[#This Row],[Q. No.]]=TBL_008_Qs_Lot_1[Q.])*("Question"=TBL_008_Qs_Lot_1[Type]),0)), "")</f>
        <v>0</v>
      </c>
      <c r="I170" s="296" t="str">
        <f t="array" ref="I17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0" s="296" t="str">
        <f t="array" ref="J17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0" s="296" t="str">
        <f t="array" ref="K170">IF(TBL_SQ_Qs_Lot_1[[#This Row],[Type]]="Details", INDEX(TBL_008_Qs_Lot_1[Weighting], MATCH(1, (TBL_SQ_Qs_Lot_1[[#This Row],[Q. No.]]=TBL_008_Qs_Lot_1[Q.])*("Question"=TBL_008_Qs_Lot_1[Type]),0)), "")</f>
        <v>N/A</v>
      </c>
      <c r="L170" s="296" t="str">
        <f>IF($H$4="No", "Shade", IF(OR(TBL_SQ_Qs_Lot_1[[#This Row],[Question]]="Not used
", AND(TBL_SQ_Qs_Lot_1[[#This Row],[Type]]="Details", TBL_SQ_Qs_Lot_1[[#This Row],[Subs]]=0)), "Shade", ""))</f>
        <v>Shade</v>
      </c>
    </row>
    <row r="171" spans="1:12" ht="25" hidden="1" customHeight="1">
      <c r="A171" s="239" t="s">
        <v>742</v>
      </c>
      <c r="B171" s="84" t="str">
        <f t="array" ref="B171">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1" s="234"/>
      <c r="D171" s="297" t="str">
        <f>IF(TBL_SQ_Qs_Lot_1[[#This Row],[Type]]="Question", IF(OR(TBL_SQ_Qs_Lot_1[[#This Row],[Shade?]]="Shade", TBL_SQ_Qs_Lot_1[[#This Row],[Question]]="Question not used
"), "", IF(TBL_SQ_Qs_Lot_1[[#This Row],[Response]]&lt;&gt;"", "Done", "Add")), "")</f>
        <v/>
      </c>
      <c r="E171" s="407" t="s">
        <v>779</v>
      </c>
      <c r="F171" s="296" t="str">
        <f t="array" ref="F171">IF(TBL_SQ_Qs_Lot_1[[#This Row],[Type]]="Details", INDEX(TBL_008_Qs_Lot_1[Word limit], MATCH(1, (TBL_SQ_Qs_Lot_1[[#This Row],[Q. No.]]=TBL_008_Qs_Lot_1[Q.])*("Question"=TBL_008_Qs_Lot_1[Type]),0)), "")</f>
        <v/>
      </c>
      <c r="G171" s="296" t="str">
        <f t="array" ref="G171">IF(TBL_SQ_Qs_Lot_1[[#This Row],[Type]]="Details", INDEX(TBL_008_Qs_Lot_1[Max score], MATCH(1, (TBL_SQ_Qs_Lot_1[[#This Row],[Q. No.]]=TBL_008_Qs_Lot_1[Q.])*("Question"=TBL_008_Qs_Lot_1[Type]),0)), "")</f>
        <v/>
      </c>
      <c r="H171" s="296" t="str">
        <f t="array" ref="H171">IF(TBL_SQ_Qs_Lot_1[[#This Row],[Type]]="Details", INDEX(TBL_008_Qs_Lot_1[No.subs], MATCH(1, (TBL_SQ_Qs_Lot_1[[#This Row],[Q. No.]]=TBL_008_Qs_Lot_1[Q.])*("Question"=TBL_008_Qs_Lot_1[Type]),0)), "")</f>
        <v/>
      </c>
      <c r="I171" s="296" t="str">
        <f t="array" ref="I171">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1" s="296" t="str">
        <f t="array" ref="J171">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1" s="296" t="str">
        <f t="array" ref="K171">IF(TBL_SQ_Qs_Lot_1[[#This Row],[Type]]="Details", INDEX(TBL_008_Qs_Lot_1[Weighting], MATCH(1, (TBL_SQ_Qs_Lot_1[[#This Row],[Q. No.]]=TBL_008_Qs_Lot_1[Q.])*("Question"=TBL_008_Qs_Lot_1[Type]),0)), "")</f>
        <v/>
      </c>
      <c r="L171" s="296" t="str">
        <f>IF($H$4="No", "Shade", IF(OR(TBL_SQ_Qs_Lot_1[[#This Row],[Question]]="Not used
", AND(TBL_SQ_Qs_Lot_1[[#This Row],[Type]]="Details", TBL_SQ_Qs_Lot_1[[#This Row],[Subs]]=0)), "Shade", ""))</f>
        <v>Shade</v>
      </c>
    </row>
    <row r="172" spans="1:12" ht="25" hidden="1" customHeight="1">
      <c r="A172" s="239" t="s">
        <v>743</v>
      </c>
      <c r="B172" s="84" t="str">
        <f t="array" ref="B172">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2" s="234"/>
      <c r="D172" s="297" t="str">
        <f>IF(TBL_SQ_Qs_Lot_1[[#This Row],[Type]]="Question", IF(OR(TBL_SQ_Qs_Lot_1[[#This Row],[Shade?]]="Shade", TBL_SQ_Qs_Lot_1[[#This Row],[Question]]="Question not used
"), "", IF(TBL_SQ_Qs_Lot_1[[#This Row],[Response]]&lt;&gt;"", "Done", "Add")), "")</f>
        <v/>
      </c>
      <c r="E172" s="407" t="s">
        <v>779</v>
      </c>
      <c r="F172" s="296" t="str">
        <f t="array" ref="F172">IF(TBL_SQ_Qs_Lot_1[[#This Row],[Type]]="Details", INDEX(TBL_008_Qs_Lot_1[Word limit], MATCH(1, (TBL_SQ_Qs_Lot_1[[#This Row],[Q. No.]]=TBL_008_Qs_Lot_1[Q.])*("Question"=TBL_008_Qs_Lot_1[Type]),0)), "")</f>
        <v/>
      </c>
      <c r="G172" s="296" t="str">
        <f t="array" ref="G172">IF(TBL_SQ_Qs_Lot_1[[#This Row],[Type]]="Details", INDEX(TBL_008_Qs_Lot_1[Max score], MATCH(1, (TBL_SQ_Qs_Lot_1[[#This Row],[Q. No.]]=TBL_008_Qs_Lot_1[Q.])*("Question"=TBL_008_Qs_Lot_1[Type]),0)), "")</f>
        <v/>
      </c>
      <c r="H172" s="296" t="str">
        <f t="array" ref="H172">IF(TBL_SQ_Qs_Lot_1[[#This Row],[Type]]="Details", INDEX(TBL_008_Qs_Lot_1[No.subs], MATCH(1, (TBL_SQ_Qs_Lot_1[[#This Row],[Q. No.]]=TBL_008_Qs_Lot_1[Q.])*("Question"=TBL_008_Qs_Lot_1[Type]),0)), "")</f>
        <v/>
      </c>
      <c r="I172" s="296" t="str">
        <f t="array" ref="I172">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2" s="296" t="str">
        <f t="array" ref="J172">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2" s="296" t="str">
        <f t="array" ref="K172">IF(TBL_SQ_Qs_Lot_1[[#This Row],[Type]]="Details", INDEX(TBL_008_Qs_Lot_1[Weighting], MATCH(1, (TBL_SQ_Qs_Lot_1[[#This Row],[Q. No.]]=TBL_008_Qs_Lot_1[Q.])*("Question"=TBL_008_Qs_Lot_1[Type]),0)), "")</f>
        <v/>
      </c>
      <c r="L172" s="296" t="str">
        <f>IF($H$4="No", "Shade", IF(OR(TBL_SQ_Qs_Lot_1[[#This Row],[Question]]="Not used
", AND(TBL_SQ_Qs_Lot_1[[#This Row],[Type]]="Details", TBL_SQ_Qs_Lot_1[[#This Row],[Subs]]=0)), "Shade", ""))</f>
        <v>Shade</v>
      </c>
    </row>
    <row r="173" spans="1:12" ht="25" hidden="1" customHeight="1">
      <c r="A173" s="239" t="s">
        <v>744</v>
      </c>
      <c r="B173" s="84" t="str">
        <f t="array" ref="B173">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3" s="234"/>
      <c r="D173" s="297" t="str">
        <f>IF(TBL_SQ_Qs_Lot_1[[#This Row],[Type]]="Question", IF(OR(TBL_SQ_Qs_Lot_1[[#This Row],[Shade?]]="Shade", TBL_SQ_Qs_Lot_1[[#This Row],[Question]]="Question not used
"), "", IF(TBL_SQ_Qs_Lot_1[[#This Row],[Response]]&lt;&gt;"", "Done", "Add")), "")</f>
        <v/>
      </c>
      <c r="E173" s="407" t="s">
        <v>779</v>
      </c>
      <c r="F173" s="296" t="str">
        <f t="array" ref="F173">IF(TBL_SQ_Qs_Lot_1[[#This Row],[Type]]="Details", INDEX(TBL_008_Qs_Lot_1[Word limit], MATCH(1, (TBL_SQ_Qs_Lot_1[[#This Row],[Q. No.]]=TBL_008_Qs_Lot_1[Q.])*("Question"=TBL_008_Qs_Lot_1[Type]),0)), "")</f>
        <v/>
      </c>
      <c r="G173" s="296" t="str">
        <f t="array" ref="G173">IF(TBL_SQ_Qs_Lot_1[[#This Row],[Type]]="Details", INDEX(TBL_008_Qs_Lot_1[Max score], MATCH(1, (TBL_SQ_Qs_Lot_1[[#This Row],[Q. No.]]=TBL_008_Qs_Lot_1[Q.])*("Question"=TBL_008_Qs_Lot_1[Type]),0)), "")</f>
        <v/>
      </c>
      <c r="H173" s="296" t="str">
        <f t="array" ref="H173">IF(TBL_SQ_Qs_Lot_1[[#This Row],[Type]]="Details", INDEX(TBL_008_Qs_Lot_1[No.subs], MATCH(1, (TBL_SQ_Qs_Lot_1[[#This Row],[Q. No.]]=TBL_008_Qs_Lot_1[Q.])*("Question"=TBL_008_Qs_Lot_1[Type]),0)), "")</f>
        <v/>
      </c>
      <c r="I173" s="296" t="str">
        <f t="array" ref="I173">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3" s="296" t="str">
        <f t="array" ref="J173">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3" s="296" t="str">
        <f t="array" ref="K173">IF(TBL_SQ_Qs_Lot_1[[#This Row],[Type]]="Details", INDEX(TBL_008_Qs_Lot_1[Weighting], MATCH(1, (TBL_SQ_Qs_Lot_1[[#This Row],[Q. No.]]=TBL_008_Qs_Lot_1[Q.])*("Question"=TBL_008_Qs_Lot_1[Type]),0)), "")</f>
        <v/>
      </c>
      <c r="L173" s="296" t="str">
        <f>IF($H$4="No", "Shade", IF(OR(TBL_SQ_Qs_Lot_1[[#This Row],[Question]]="Not used
", AND(TBL_SQ_Qs_Lot_1[[#This Row],[Type]]="Details", TBL_SQ_Qs_Lot_1[[#This Row],[Subs]]=0)), "Shade", ""))</f>
        <v>Shade</v>
      </c>
    </row>
    <row r="174" spans="1:12" ht="25" hidden="1" customHeight="1">
      <c r="A174" s="239" t="s">
        <v>745</v>
      </c>
      <c r="B174" s="84" t="str">
        <f t="array" ref="B174">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4" s="234"/>
      <c r="D174" s="297" t="str">
        <f>IF(TBL_SQ_Qs_Lot_1[[#This Row],[Type]]="Question", IF(OR(TBL_SQ_Qs_Lot_1[[#This Row],[Shade?]]="Shade", TBL_SQ_Qs_Lot_1[[#This Row],[Question]]="Question not used
"), "", IF(TBL_SQ_Qs_Lot_1[[#This Row],[Response]]&lt;&gt;"", "Done", "Add")), "")</f>
        <v/>
      </c>
      <c r="E174" s="407" t="s">
        <v>779</v>
      </c>
      <c r="F174" s="296" t="str">
        <f t="array" ref="F174">IF(TBL_SQ_Qs_Lot_1[[#This Row],[Type]]="Details", INDEX(TBL_008_Qs_Lot_1[Word limit], MATCH(1, (TBL_SQ_Qs_Lot_1[[#This Row],[Q. No.]]=TBL_008_Qs_Lot_1[Q.])*("Question"=TBL_008_Qs_Lot_1[Type]),0)), "")</f>
        <v/>
      </c>
      <c r="G174" s="296" t="str">
        <f t="array" ref="G174">IF(TBL_SQ_Qs_Lot_1[[#This Row],[Type]]="Details", INDEX(TBL_008_Qs_Lot_1[Max score], MATCH(1, (TBL_SQ_Qs_Lot_1[[#This Row],[Q. No.]]=TBL_008_Qs_Lot_1[Q.])*("Question"=TBL_008_Qs_Lot_1[Type]),0)), "")</f>
        <v/>
      </c>
      <c r="H174" s="296" t="str">
        <f t="array" ref="H174">IF(TBL_SQ_Qs_Lot_1[[#This Row],[Type]]="Details", INDEX(TBL_008_Qs_Lot_1[No.subs], MATCH(1, (TBL_SQ_Qs_Lot_1[[#This Row],[Q. No.]]=TBL_008_Qs_Lot_1[Q.])*("Question"=TBL_008_Qs_Lot_1[Type]),0)), "")</f>
        <v/>
      </c>
      <c r="I174" s="296" t="str">
        <f t="array" ref="I174">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4" s="296" t="str">
        <f t="array" ref="J174">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4" s="296" t="str">
        <f t="array" ref="K174">IF(TBL_SQ_Qs_Lot_1[[#This Row],[Type]]="Details", INDEX(TBL_008_Qs_Lot_1[Weighting], MATCH(1, (TBL_SQ_Qs_Lot_1[[#This Row],[Q. No.]]=TBL_008_Qs_Lot_1[Q.])*("Question"=TBL_008_Qs_Lot_1[Type]),0)), "")</f>
        <v/>
      </c>
      <c r="L174" s="296" t="str">
        <f>IF($H$4="No", "Shade", IF(OR(TBL_SQ_Qs_Lot_1[[#This Row],[Question]]="Not used
", AND(TBL_SQ_Qs_Lot_1[[#This Row],[Type]]="Details", TBL_SQ_Qs_Lot_1[[#This Row],[Subs]]=0)), "Shade", ""))</f>
        <v>Shade</v>
      </c>
    </row>
    <row r="175" spans="1:12" ht="25" hidden="1" customHeight="1">
      <c r="A175" s="239" t="s">
        <v>746</v>
      </c>
      <c r="B175" s="84" t="str">
        <f t="array" ref="B175">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5" s="234"/>
      <c r="D175" s="297" t="str">
        <f>IF(TBL_SQ_Qs_Lot_1[[#This Row],[Type]]="Question", IF(OR(TBL_SQ_Qs_Lot_1[[#This Row],[Shade?]]="Shade", TBL_SQ_Qs_Lot_1[[#This Row],[Question]]="Question not used
"), "", IF(TBL_SQ_Qs_Lot_1[[#This Row],[Response]]&lt;&gt;"", "Done", "Add")), "")</f>
        <v/>
      </c>
      <c r="E175" s="407" t="s">
        <v>779</v>
      </c>
      <c r="F175" s="296" t="str">
        <f t="array" ref="F175">IF(TBL_SQ_Qs_Lot_1[[#This Row],[Type]]="Details", INDEX(TBL_008_Qs_Lot_1[Word limit], MATCH(1, (TBL_SQ_Qs_Lot_1[[#This Row],[Q. No.]]=TBL_008_Qs_Lot_1[Q.])*("Question"=TBL_008_Qs_Lot_1[Type]),0)), "")</f>
        <v/>
      </c>
      <c r="G175" s="296" t="str">
        <f t="array" ref="G175">IF(TBL_SQ_Qs_Lot_1[[#This Row],[Type]]="Details", INDEX(TBL_008_Qs_Lot_1[Max score], MATCH(1, (TBL_SQ_Qs_Lot_1[[#This Row],[Q. No.]]=TBL_008_Qs_Lot_1[Q.])*("Question"=TBL_008_Qs_Lot_1[Type]),0)), "")</f>
        <v/>
      </c>
      <c r="H175" s="296" t="str">
        <f t="array" ref="H175">IF(TBL_SQ_Qs_Lot_1[[#This Row],[Type]]="Details", INDEX(TBL_008_Qs_Lot_1[No.subs], MATCH(1, (TBL_SQ_Qs_Lot_1[[#This Row],[Q. No.]]=TBL_008_Qs_Lot_1[Q.])*("Question"=TBL_008_Qs_Lot_1[Type]),0)), "")</f>
        <v/>
      </c>
      <c r="I175" s="296" t="str">
        <f t="array" ref="I175">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5" s="296" t="str">
        <f t="array" ref="J175">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5" s="296" t="str">
        <f t="array" ref="K175">IF(TBL_SQ_Qs_Lot_1[[#This Row],[Type]]="Details", INDEX(TBL_008_Qs_Lot_1[Weighting], MATCH(1, (TBL_SQ_Qs_Lot_1[[#This Row],[Q. No.]]=TBL_008_Qs_Lot_1[Q.])*("Question"=TBL_008_Qs_Lot_1[Type]),0)), "")</f>
        <v/>
      </c>
      <c r="L175" s="296" t="str">
        <f>IF($H$4="No", "Shade", IF(OR(TBL_SQ_Qs_Lot_1[[#This Row],[Question]]="Not used
", AND(TBL_SQ_Qs_Lot_1[[#This Row],[Type]]="Details", TBL_SQ_Qs_Lot_1[[#This Row],[Subs]]=0)), "Shade", ""))</f>
        <v>Shade</v>
      </c>
    </row>
    <row r="176" spans="1:12" ht="25" hidden="1" customHeight="1">
      <c r="A176" s="239" t="s">
        <v>747</v>
      </c>
      <c r="B176" s="84" t="str">
        <f t="array" ref="B176">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6" s="234"/>
      <c r="D176" s="297" t="str">
        <f>IF(TBL_SQ_Qs_Lot_1[[#This Row],[Type]]="Question", IF(OR(TBL_SQ_Qs_Lot_1[[#This Row],[Shade?]]="Shade", TBL_SQ_Qs_Lot_1[[#This Row],[Question]]="Question not used
"), "", IF(TBL_SQ_Qs_Lot_1[[#This Row],[Response]]&lt;&gt;"", "Done", "Add")), "")</f>
        <v/>
      </c>
      <c r="E176" s="407" t="s">
        <v>779</v>
      </c>
      <c r="F176" s="296" t="str">
        <f t="array" ref="F176">IF(TBL_SQ_Qs_Lot_1[[#This Row],[Type]]="Details", INDEX(TBL_008_Qs_Lot_1[Word limit], MATCH(1, (TBL_SQ_Qs_Lot_1[[#This Row],[Q. No.]]=TBL_008_Qs_Lot_1[Q.])*("Question"=TBL_008_Qs_Lot_1[Type]),0)), "")</f>
        <v/>
      </c>
      <c r="G176" s="296" t="str">
        <f t="array" ref="G176">IF(TBL_SQ_Qs_Lot_1[[#This Row],[Type]]="Details", INDEX(TBL_008_Qs_Lot_1[Max score], MATCH(1, (TBL_SQ_Qs_Lot_1[[#This Row],[Q. No.]]=TBL_008_Qs_Lot_1[Q.])*("Question"=TBL_008_Qs_Lot_1[Type]),0)), "")</f>
        <v/>
      </c>
      <c r="H176" s="296" t="str">
        <f t="array" ref="H176">IF(TBL_SQ_Qs_Lot_1[[#This Row],[Type]]="Details", INDEX(TBL_008_Qs_Lot_1[No.subs], MATCH(1, (TBL_SQ_Qs_Lot_1[[#This Row],[Q. No.]]=TBL_008_Qs_Lot_1[Q.])*("Question"=TBL_008_Qs_Lot_1[Type]),0)), "")</f>
        <v/>
      </c>
      <c r="I176" s="296" t="str">
        <f t="array" ref="I176">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6" s="296" t="str">
        <f t="array" ref="J176">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6" s="296" t="str">
        <f t="array" ref="K176">IF(TBL_SQ_Qs_Lot_1[[#This Row],[Type]]="Details", INDEX(TBL_008_Qs_Lot_1[Weighting], MATCH(1, (TBL_SQ_Qs_Lot_1[[#This Row],[Q. No.]]=TBL_008_Qs_Lot_1[Q.])*("Question"=TBL_008_Qs_Lot_1[Type]),0)), "")</f>
        <v/>
      </c>
      <c r="L176" s="296" t="str">
        <f>IF($H$4="No", "Shade", IF(OR(TBL_SQ_Qs_Lot_1[[#This Row],[Question]]="Not used
", AND(TBL_SQ_Qs_Lot_1[[#This Row],[Type]]="Details", TBL_SQ_Qs_Lot_1[[#This Row],[Subs]]=0)), "Shade", ""))</f>
        <v>Shade</v>
      </c>
    </row>
    <row r="177" spans="1:12" ht="25" hidden="1" customHeight="1">
      <c r="A177" s="239" t="s">
        <v>748</v>
      </c>
      <c r="B177" s="84" t="str">
        <f t="array" ref="B177">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7" s="234"/>
      <c r="D177" s="297" t="str">
        <f>IF(TBL_SQ_Qs_Lot_1[[#This Row],[Type]]="Question", IF(OR(TBL_SQ_Qs_Lot_1[[#This Row],[Shade?]]="Shade", TBL_SQ_Qs_Lot_1[[#This Row],[Question]]="Question not used
"), "", IF(TBL_SQ_Qs_Lot_1[[#This Row],[Response]]&lt;&gt;"", "Done", "Add")), "")</f>
        <v/>
      </c>
      <c r="E177" s="407" t="s">
        <v>779</v>
      </c>
      <c r="F177" s="296" t="str">
        <f t="array" ref="F177">IF(TBL_SQ_Qs_Lot_1[[#This Row],[Type]]="Details", INDEX(TBL_008_Qs_Lot_1[Word limit], MATCH(1, (TBL_SQ_Qs_Lot_1[[#This Row],[Q. No.]]=TBL_008_Qs_Lot_1[Q.])*("Question"=TBL_008_Qs_Lot_1[Type]),0)), "")</f>
        <v/>
      </c>
      <c r="G177" s="296" t="str">
        <f t="array" ref="G177">IF(TBL_SQ_Qs_Lot_1[[#This Row],[Type]]="Details", INDEX(TBL_008_Qs_Lot_1[Max score], MATCH(1, (TBL_SQ_Qs_Lot_1[[#This Row],[Q. No.]]=TBL_008_Qs_Lot_1[Q.])*("Question"=TBL_008_Qs_Lot_1[Type]),0)), "")</f>
        <v/>
      </c>
      <c r="H177" s="296" t="str">
        <f t="array" ref="H177">IF(TBL_SQ_Qs_Lot_1[[#This Row],[Type]]="Details", INDEX(TBL_008_Qs_Lot_1[No.subs], MATCH(1, (TBL_SQ_Qs_Lot_1[[#This Row],[Q. No.]]=TBL_008_Qs_Lot_1[Q.])*("Question"=TBL_008_Qs_Lot_1[Type]),0)), "")</f>
        <v/>
      </c>
      <c r="I177" s="296" t="str">
        <f t="array" ref="I177">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7" s="296" t="str">
        <f t="array" ref="J177">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7" s="296" t="str">
        <f t="array" ref="K177">IF(TBL_SQ_Qs_Lot_1[[#This Row],[Type]]="Details", INDEX(TBL_008_Qs_Lot_1[Weighting], MATCH(1, (TBL_SQ_Qs_Lot_1[[#This Row],[Q. No.]]=TBL_008_Qs_Lot_1[Q.])*("Question"=TBL_008_Qs_Lot_1[Type]),0)), "")</f>
        <v/>
      </c>
      <c r="L177" s="296" t="str">
        <f>IF($H$4="No", "Shade", IF(OR(TBL_SQ_Qs_Lot_1[[#This Row],[Question]]="Not used
", AND(TBL_SQ_Qs_Lot_1[[#This Row],[Type]]="Details", TBL_SQ_Qs_Lot_1[[#This Row],[Subs]]=0)), "Shade", ""))</f>
        <v>Shade</v>
      </c>
    </row>
    <row r="178" spans="1:12" ht="25" hidden="1" customHeight="1">
      <c r="A178" s="239" t="s">
        <v>749</v>
      </c>
      <c r="B178" s="84" t="str">
        <f t="array" ref="B178">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8" s="234"/>
      <c r="D178" s="297" t="str">
        <f>IF(TBL_SQ_Qs_Lot_1[[#This Row],[Type]]="Question", IF(OR(TBL_SQ_Qs_Lot_1[[#This Row],[Shade?]]="Shade", TBL_SQ_Qs_Lot_1[[#This Row],[Question]]="Question not used
"), "", IF(TBL_SQ_Qs_Lot_1[[#This Row],[Response]]&lt;&gt;"", "Done", "Add")), "")</f>
        <v/>
      </c>
      <c r="E178" s="407" t="s">
        <v>779</v>
      </c>
      <c r="F178" s="296" t="str">
        <f t="array" ref="F178">IF(TBL_SQ_Qs_Lot_1[[#This Row],[Type]]="Details", INDEX(TBL_008_Qs_Lot_1[Word limit], MATCH(1, (TBL_SQ_Qs_Lot_1[[#This Row],[Q. No.]]=TBL_008_Qs_Lot_1[Q.])*("Question"=TBL_008_Qs_Lot_1[Type]),0)), "")</f>
        <v/>
      </c>
      <c r="G178" s="296" t="str">
        <f t="array" ref="G178">IF(TBL_SQ_Qs_Lot_1[[#This Row],[Type]]="Details", INDEX(TBL_008_Qs_Lot_1[Max score], MATCH(1, (TBL_SQ_Qs_Lot_1[[#This Row],[Q. No.]]=TBL_008_Qs_Lot_1[Q.])*("Question"=TBL_008_Qs_Lot_1[Type]),0)), "")</f>
        <v/>
      </c>
      <c r="H178" s="296" t="str">
        <f t="array" ref="H178">IF(TBL_SQ_Qs_Lot_1[[#This Row],[Type]]="Details", INDEX(TBL_008_Qs_Lot_1[No.subs], MATCH(1, (TBL_SQ_Qs_Lot_1[[#This Row],[Q. No.]]=TBL_008_Qs_Lot_1[Q.])*("Question"=TBL_008_Qs_Lot_1[Type]),0)), "")</f>
        <v/>
      </c>
      <c r="I178" s="296" t="str">
        <f t="array" ref="I178">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8" s="296" t="str">
        <f t="array" ref="J178">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8" s="296" t="str">
        <f t="array" ref="K178">IF(TBL_SQ_Qs_Lot_1[[#This Row],[Type]]="Details", INDEX(TBL_008_Qs_Lot_1[Weighting], MATCH(1, (TBL_SQ_Qs_Lot_1[[#This Row],[Q. No.]]=TBL_008_Qs_Lot_1[Q.])*("Question"=TBL_008_Qs_Lot_1[Type]),0)), "")</f>
        <v/>
      </c>
      <c r="L178" s="296" t="str">
        <f>IF($H$4="No", "Shade", IF(OR(TBL_SQ_Qs_Lot_1[[#This Row],[Question]]="Not used
", AND(TBL_SQ_Qs_Lot_1[[#This Row],[Type]]="Details", TBL_SQ_Qs_Lot_1[[#This Row],[Subs]]=0)), "Shade", ""))</f>
        <v>Shade</v>
      </c>
    </row>
    <row r="179" spans="1:12" ht="25" hidden="1" customHeight="1">
      <c r="A179" s="239" t="s">
        <v>750</v>
      </c>
      <c r="B179" s="84" t="str">
        <f t="array" ref="B179">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79" s="234"/>
      <c r="D179" s="297" t="str">
        <f>IF(TBL_SQ_Qs_Lot_1[[#This Row],[Type]]="Question", IF(OR(TBL_SQ_Qs_Lot_1[[#This Row],[Shade?]]="Shade", TBL_SQ_Qs_Lot_1[[#This Row],[Question]]="Question not used
"), "", IF(TBL_SQ_Qs_Lot_1[[#This Row],[Response]]&lt;&gt;"", "Done", "Add")), "")</f>
        <v/>
      </c>
      <c r="E179" s="407" t="s">
        <v>779</v>
      </c>
      <c r="F179" s="296" t="str">
        <f t="array" ref="F179">IF(TBL_SQ_Qs_Lot_1[[#This Row],[Type]]="Details", INDEX(TBL_008_Qs_Lot_1[Word limit], MATCH(1, (TBL_SQ_Qs_Lot_1[[#This Row],[Q. No.]]=TBL_008_Qs_Lot_1[Q.])*("Question"=TBL_008_Qs_Lot_1[Type]),0)), "")</f>
        <v/>
      </c>
      <c r="G179" s="296" t="str">
        <f t="array" ref="G179">IF(TBL_SQ_Qs_Lot_1[[#This Row],[Type]]="Details", INDEX(TBL_008_Qs_Lot_1[Max score], MATCH(1, (TBL_SQ_Qs_Lot_1[[#This Row],[Q. No.]]=TBL_008_Qs_Lot_1[Q.])*("Question"=TBL_008_Qs_Lot_1[Type]),0)), "")</f>
        <v/>
      </c>
      <c r="H179" s="296" t="str">
        <f t="array" ref="H179">IF(TBL_SQ_Qs_Lot_1[[#This Row],[Type]]="Details", INDEX(TBL_008_Qs_Lot_1[No.subs], MATCH(1, (TBL_SQ_Qs_Lot_1[[#This Row],[Q. No.]]=TBL_008_Qs_Lot_1[Q.])*("Question"=TBL_008_Qs_Lot_1[Type]),0)), "")</f>
        <v/>
      </c>
      <c r="I179" s="296" t="str">
        <f t="array" ref="I179">IF(TBL_SQ_Qs_Lot_1[[#This Row],[Type]]="Details", IF(INDEX(TBL_008_Qs_Lot_1[App_pages], MATCH(1, (TBL_SQ_Qs_Lot_1[[#This Row],[Q. No.]]=TBL_008_Qs_Lot_1[Q.])*("Question"=TBL_008_Qs_Lot_1[Type]),0))&lt;&gt;"", INDEX(TBL_008_Qs_Lot_1[App_pages], MATCH(1, (TBL_SQ_Qs_Lot_1[[#This Row],[Q. No.]]=TBL_008_Qs_Lot_1[Q.])*("Question"=TBL_008_Qs_Lot_1[Type]),0)), ""), "")</f>
        <v/>
      </c>
      <c r="J179" s="296" t="str">
        <f t="array" ref="J179">IF(TBL_SQ_Qs_Lot_1[[#This Row],[Type]]="Details", IF(INDEX(TBL_008_Qs_Lot_1[App_sub-qs], MATCH(1, (TBL_SQ_Qs_Lot_1[[#This Row],[Q. No.]]=TBL_008_Qs_Lot_1[Q.])*("Question"=TBL_008_Qs_Lot_1[Type]),0))&lt;&gt;"", INDEX(TBL_008_Qs_Lot_1[App_sub-qs], MATCH(1, (TBL_SQ_Qs_Lot_1[[#This Row],[Q. No.]]=TBL_008_Qs_Lot_1[Q.])*("Question"=TBL_008_Qs_Lot_1[Type]),0)), ""), "")</f>
        <v/>
      </c>
      <c r="K179" s="296" t="str">
        <f t="array" ref="K179">IF(TBL_SQ_Qs_Lot_1[[#This Row],[Type]]="Details", INDEX(TBL_008_Qs_Lot_1[Weighting], MATCH(1, (TBL_SQ_Qs_Lot_1[[#This Row],[Q. No.]]=TBL_008_Qs_Lot_1[Q.])*("Question"=TBL_008_Qs_Lot_1[Type]),0)), "")</f>
        <v/>
      </c>
      <c r="L179" s="296" t="str">
        <f>IF($H$4="No", "Shade", IF(OR(TBL_SQ_Qs_Lot_1[[#This Row],[Question]]="Not used
", AND(TBL_SQ_Qs_Lot_1[[#This Row],[Type]]="Details", TBL_SQ_Qs_Lot_1[[#This Row],[Subs]]=0)), "Shade", ""))</f>
        <v>Shade</v>
      </c>
    </row>
    <row r="180" spans="1:12" ht="25" hidden="1" customHeight="1">
      <c r="A180" s="232" t="s">
        <v>751</v>
      </c>
      <c r="B180" s="86" t="str">
        <f t="array" ref="B180">IF(OR(TBL_SQ_Qs_Lot_1[[#This Row],[Type]]="Question", TBL_SQ_Qs_Lot_1[[#This Row],[Type]]="Sub-question"), CONCATENATE(INDEX(TBL_008_Qs_Lot_1[Question / Sub-question], MATCH(1, (TBL_SQ_Qs_Lot_1[[#This Row],[Q. No.]]=TBL_008_Qs_Lot_1[Q.])*(TBL_SQ_Qs_Lot_1[[#This Row],[Type]]=TBL_008_Qs_Lot_1[Type]),0)),"
"), CONCATENATE($N$20,TBL_SQ_Qs_Lot_1[[#This Row],[Q. No.]],$O$20,TBL_SQ_Qs_Lot_1[[#This Row],[Word limit]],$P$20, IF(AND(TBL_SQ_Qs_Lot_1[[#This Row],[App]]&lt;&gt;"", TBL_SQ_Qs_Lot_1[[#This Row],[App_Q]]&lt;&gt;""), IF(OR(TBL_SQ_Qs_Lot_1[[#This Row],[App]]="N/A", TBL_SQ_Qs_Lot_1[[#This Row],[App_Q]]="N/A"), "", CONCATENATE(".  In addition, you may append ", TBL_SQ_Qs_Lot_1[[#This Row],[App]], IF(TBL_SQ_Qs_Lot_1[[#This Row],[App]]=1, " side of A3 paper (or ", " sides of A3 paper (or "),TBL_SQ_Qs_Lot_1[[#This Row],[App]]*2, " sides of A4 paper) to support your response to ", TBL_SQ_Qs_Lot_1[[#This Row],[App_Q]])), ""), $Q$20, TBL_SQ_Qs_Lot_1[[#This Row],[Score]],$R$20,TBL_SQ_Qs_Lot_1[[#This Row],[Subs]],$S$20,marks,$T$20, IF(SQ_Weighted?="Yes", CONCATENATE(" which in turn, will be weighted to a maximum of ", TBL_SQ_Qs_Lot_1[[#This Row],[Weighting]], ".00 points.
"), "
")))</f>
        <v xml:space="preserve">Not used
</v>
      </c>
      <c r="C180" s="235"/>
      <c r="D180" s="297" t="str">
        <f>IF(TBL_SQ_Qs_Lot_1[[#This Row],[Type]]="Question", IF(OR(TBL_SQ_Qs_Lot_1[[#This Row],[Shade?]]="Shade", TBL_SQ_Qs_Lot_1[[#This Row],[Question]]="Question not used
"), "", IF(TBL_SQ_Qs_Lot_1[[#This Row],[Response]]&lt;&gt;"", "Done", "Add")), "")</f>
        <v/>
      </c>
      <c r="E180" s="407" t="s">
        <v>779</v>
      </c>
      <c r="F180" s="296" t="str">
        <f t="array" ref="F180">IF(TBL_SQ_Qs_Lot_1[[#This Row],[Type]]="Details", INDEX(TBL_008_Qs_Lot_1[Word limit], MATCH(1, (TBL_SQ_Qs_Lot_1[[#This Row],[Q. No.]]=TBL_008_Qs_Lot_1[Q.])*("Question"=TBL_008_Qs_Lot_1[Type]),0)), "")</f>
        <v/>
      </c>
      <c r="G180" s="296" t="str">
        <f t="array" ref="G180">IF(TBL_SQ_Qs_Lot_1[[#This Row],[Type]]="Details", INDEX(TBL_008_Qs_Lot_1[Max score], MATCH(1, (TBL_SQ_Qs_Lot_1[[#This Row],[Q. No.]]=TBL_008_Qs_Lot_1[Q.])*("Question"=TBL_008_Qs_Lot_1[Type]),0)), "")</f>
        <v/>
      </c>
      <c r="H180" s="296" t="str">
        <f t="array" ref="H180">IF(TBL_SQ_Qs_Lot_1[[#This Row],[Type]]="Details", INDEX(TBL_008_Qs_Lot_1[No.subs], MATCH(1, (TBL_SQ_Qs_Lot_1[[#This Row],[Q. No.]]=TBL_008_Qs_Lot_1[Q.])*("Question"=TBL_008_Qs_Lot_1[Type]),0)), "")</f>
        <v/>
      </c>
      <c r="I180" s="296" t="str">
        <f t="array" ref="I180">IF(TBL_SQ_Qs_Lot_1[[#This Row],[Type]]="Details", IF(INDEX(TBL_008_Qs_Lot_1[App_pages], MATCH(1, (TBL_SQ_Qs_Lot_1[[#This Row],[Q. No.]]=TBL_008_Qs_Lot_1[Q.])*("Question"=TBL_008_Qs_Lot_1[Type]),0))&lt;&gt;"", INDEX(TBL_008_Qs_Lot_1[App_pages], MATCH(1, (TBL_SQ_Qs_Lot_1[[#This Row],[Q. No.]]=TBL_008_Qs_Lot_1[Q.])*("Question"=TBL_008_Qs_Lot_1[Type]),0)), ""), "")</f>
        <v/>
      </c>
      <c r="J180" s="296" t="str">
        <f t="array" ref="J180">IF(TBL_SQ_Qs_Lot_1[[#This Row],[Type]]="Details", IF(INDEX(TBL_008_Qs_Lot_1[App_sub-qs], MATCH(1, (TBL_SQ_Qs_Lot_1[[#This Row],[Q. No.]]=TBL_008_Qs_Lot_1[Q.])*("Question"=TBL_008_Qs_Lot_1[Type]),0))&lt;&gt;"", INDEX(TBL_008_Qs_Lot_1[App_sub-qs], MATCH(1, (TBL_SQ_Qs_Lot_1[[#This Row],[Q. No.]]=TBL_008_Qs_Lot_1[Q.])*("Question"=TBL_008_Qs_Lot_1[Type]),0)), ""), "")</f>
        <v/>
      </c>
      <c r="K180" s="296" t="str">
        <f t="array" ref="K180">IF(TBL_SQ_Qs_Lot_1[[#This Row],[Type]]="Details", INDEX(TBL_008_Qs_Lot_1[Weighting], MATCH(1, (TBL_SQ_Qs_Lot_1[[#This Row],[Q. No.]]=TBL_008_Qs_Lot_1[Q.])*("Question"=TBL_008_Qs_Lot_1[Type]),0)), "")</f>
        <v/>
      </c>
      <c r="L180" s="296" t="str">
        <f>IF($H$4="No", "Shade", IF(OR(TBL_SQ_Qs_Lot_1[[#This Row],[Question]]="Not used
", AND(TBL_SQ_Qs_Lot_1[[#This Row],[Type]]="Details", TBL_SQ_Qs_Lot_1[[#This Row],[Subs]]=0)), "Shade", ""))</f>
        <v>Shade</v>
      </c>
    </row>
    <row r="181" spans="1:12">
      <c r="A181" s="435"/>
      <c r="B181" s="463"/>
      <c r="C181" s="437"/>
      <c r="D181" s="436"/>
      <c r="E181" s="438"/>
      <c r="F181" s="438"/>
      <c r="G181" s="436"/>
      <c r="H181" s="436"/>
      <c r="I181" s="436"/>
      <c r="J181" s="436"/>
      <c r="K181" s="436"/>
      <c r="L181" s="436"/>
    </row>
  </sheetData>
  <sheetProtection algorithmName="SHA-512" hashValue="rj0dTUgtEy3tNgOKK72N5Fa2GZgEf0+mdvqdJf8635yvjh1/nfK+dwricM6j7qXekr/856XlSWkUU665iwTnUg==" saltValue="Hx64saNUKvRQ59alWHy3og==" spinCount="100000" sheet="1" objects="1" scenarios="1"/>
  <protectedRanges>
    <protectedRange sqref="C26 C21 C30:C60" name="Responses"/>
    <protectedRange sqref="C61 C73 C85 C97 C109 C121 C133 C145 C157 C169" name="Data"/>
  </protectedRanges>
  <mergeCells count="7">
    <mergeCell ref="B6:C6"/>
    <mergeCell ref="A18:C18"/>
    <mergeCell ref="A8:C8"/>
    <mergeCell ref="A10:C10"/>
    <mergeCell ref="A12:C12"/>
    <mergeCell ref="A14:C14"/>
    <mergeCell ref="A16:C16"/>
  </mergeCells>
  <conditionalFormatting sqref="A21:L180">
    <cfRule type="expression" dxfId="235" priority="1">
      <formula>INDIRECT("L"&amp;ROW())="Shade"</formula>
    </cfRule>
  </conditionalFormatting>
  <conditionalFormatting sqref="C21:C180">
    <cfRule type="expression" dxfId="234" priority="2">
      <formula>INDIRECT("D"&amp;ROW())="Done"</formula>
    </cfRule>
    <cfRule type="expression" dxfId="233" priority="3">
      <formula>INDIRECT("D"&amp;ROW())="Add"</formula>
    </cfRule>
  </conditionalFormatting>
  <dataValidations disablePrompts="1" count="2">
    <dataValidation type="list" allowBlank="1" showInputMessage="1" showErrorMessage="1" sqref="C73 C85 C97 C61 C109 C121 C133 C145 C157 C169 C37" xr:uid="{00000000-0002-0000-0F00-000000000000}">
      <formula1>"Enclosed"</formula1>
    </dataValidation>
    <dataValidation type="list" allowBlank="1" showInputMessage="1" showErrorMessage="1" sqref="C21 C49" xr:uid="{00000000-0002-0000-0F00-000001000000}">
      <formula1>"Enclosed, N/A"</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rowBreaks count="7" manualBreakCount="7">
    <brk id="19" max="16383" man="1"/>
    <brk id="27" max="16383" man="1"/>
    <brk id="65" max="16383" man="1"/>
    <brk id="96" max="2" man="1"/>
    <brk id="113" max="16383" man="1"/>
    <brk id="137" max="16383" man="1"/>
    <brk id="161" max="16383" man="1"/>
  </row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H13"/>
  <sheetViews>
    <sheetView showGridLines="0" zoomScaleNormal="100" workbookViewId="0"/>
  </sheetViews>
  <sheetFormatPr baseColWidth="10" defaultColWidth="9" defaultRowHeight="13"/>
  <cols>
    <col min="1" max="1" width="9.5" style="50" customWidth="1"/>
    <col min="2" max="2" width="37.83203125" style="29" customWidth="1"/>
    <col min="3" max="3" width="32.6640625" style="29" customWidth="1"/>
    <col min="4" max="5" width="9.5" style="29" customWidth="1"/>
    <col min="6" max="6" width="9" style="29"/>
    <col min="7" max="7" width="9.1640625" style="34" hidden="1" customWidth="1"/>
    <col min="8" max="8" width="9.1640625" style="29" customWidth="1"/>
    <col min="9" max="9" width="14.33203125" style="29" customWidth="1"/>
    <col min="10" max="11" width="9.83203125" style="29" customWidth="1"/>
    <col min="12" max="16384" width="9" style="29"/>
  </cols>
  <sheetData>
    <row r="1" spans="1:8" s="447"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G1" s="442" t="str">
        <f>IF(COUNTIF(G4:G33, "Add")&gt;0, "Incomplete", "Complete")</f>
        <v>Incomplete</v>
      </c>
    </row>
    <row r="2" spans="1:8" s="447"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42"/>
    </row>
    <row r="3" spans="1:8" s="447" customFormat="1" ht="12.5" customHeight="1">
      <c r="A3" s="451"/>
      <c r="G3" s="448"/>
    </row>
    <row r="4" spans="1:8" s="271" customFormat="1" ht="18" customHeight="1">
      <c r="A4" s="266" t="s">
        <v>208</v>
      </c>
      <c r="B4" s="266" t="s">
        <v>392</v>
      </c>
      <c r="C4" s="269"/>
      <c r="D4" s="269"/>
      <c r="E4" s="269"/>
      <c r="F4" s="270"/>
      <c r="G4" s="269"/>
    </row>
    <row r="5" spans="1:8" s="19" customFormat="1" ht="14">
      <c r="A5" s="94"/>
      <c r="B5" s="95"/>
      <c r="C5" s="96"/>
      <c r="D5" s="96"/>
      <c r="E5" s="96"/>
      <c r="F5" s="97"/>
      <c r="G5" s="93"/>
      <c r="H5" s="29"/>
    </row>
    <row r="6" spans="1:8" s="19" customFormat="1" ht="15">
      <c r="A6" s="357" t="s">
        <v>393</v>
      </c>
      <c r="B6" s="360" t="s">
        <v>646</v>
      </c>
      <c r="C6" s="98"/>
      <c r="D6" s="98"/>
      <c r="E6" s="98"/>
      <c r="F6" s="98"/>
      <c r="G6" s="34"/>
      <c r="H6" s="29"/>
    </row>
    <row r="7" spans="1:8">
      <c r="A7" s="71"/>
      <c r="B7" s="99"/>
      <c r="C7" s="98"/>
      <c r="D7" s="98"/>
      <c r="E7" s="98"/>
      <c r="F7" s="98"/>
    </row>
    <row r="8" spans="1:8" ht="14">
      <c r="A8" s="193" t="s">
        <v>925</v>
      </c>
      <c r="B8" s="193" t="s">
        <v>209</v>
      </c>
      <c r="C8" s="193" t="s">
        <v>19</v>
      </c>
      <c r="D8" s="74"/>
      <c r="E8" s="100"/>
      <c r="F8" s="101"/>
      <c r="G8" s="93"/>
    </row>
    <row r="9" spans="1:8" ht="56">
      <c r="A9" s="194" t="s">
        <v>394</v>
      </c>
      <c r="B9" s="102" t="s">
        <v>396</v>
      </c>
      <c r="C9" s="80"/>
      <c r="D9" s="103"/>
      <c r="E9" s="100"/>
      <c r="F9" s="101"/>
      <c r="G9" s="93" t="str">
        <f>IF(C9&lt;&gt;"", "Done", "Add")</f>
        <v>Add</v>
      </c>
    </row>
    <row r="10" spans="1:8" ht="56">
      <c r="A10" s="78" t="s">
        <v>395</v>
      </c>
      <c r="B10" s="89" t="s">
        <v>397</v>
      </c>
      <c r="C10" s="80"/>
      <c r="D10" s="103"/>
      <c r="E10" s="100"/>
      <c r="F10" s="101"/>
      <c r="G10" s="93" t="str">
        <f>IF($C$9="Yes",  IF(C10&lt;&gt;"", "Done","Add"), "Shade")</f>
        <v>Shade</v>
      </c>
    </row>
    <row r="11" spans="1:8" ht="14">
      <c r="A11" s="104"/>
      <c r="B11" s="89" t="str">
        <f>IF(C10="Yes","Please provide the relevant url", IF(C10="No", "Please provide an explanation", ""))</f>
        <v/>
      </c>
      <c r="C11" s="80"/>
      <c r="D11" s="103"/>
      <c r="E11" s="100"/>
      <c r="F11" s="101"/>
      <c r="G11" s="93" t="str">
        <f>IF($C$9="Yes",  IF(C11&lt;&gt;"", "Done","Add"), "Shade")</f>
        <v>Shade</v>
      </c>
    </row>
    <row r="12" spans="1:8">
      <c r="A12" s="105"/>
      <c r="B12" s="106"/>
      <c r="C12" s="103"/>
      <c r="D12" s="103"/>
      <c r="E12" s="98"/>
      <c r="F12" s="98"/>
    </row>
    <row r="13" spans="1:8">
      <c r="A13" s="105"/>
      <c r="B13" s="106"/>
      <c r="C13" s="103"/>
      <c r="D13" s="103"/>
      <c r="E13" s="98"/>
      <c r="F13" s="98"/>
    </row>
  </sheetData>
  <sheetProtection algorithmName="SHA-512" hashValue="wF6cu+qpICKR08HY2HMfJRrp46LhcIarSp73Dhp2y+QgDjY617ojTU0Bn+YtnqjxOuJnOQ4c71XaH5w5tgopFQ==" saltValue="WLpUyRGTwzQyr46CvwolHA==" spinCount="100000" sheet="1" formatRows="0"/>
  <protectedRanges>
    <protectedRange sqref="C9:C11" name="Responses"/>
  </protectedRanges>
  <conditionalFormatting sqref="C9:C11">
    <cfRule type="expression" dxfId="216" priority="7">
      <formula>INDIRECT("G"&amp;ROW())="Shade"</formula>
    </cfRule>
    <cfRule type="expression" dxfId="215" priority="8">
      <formula>INDIRECT("G"&amp;ROW())="Done"</formula>
    </cfRule>
    <cfRule type="expression" dxfId="214" priority="9">
      <formula>INDIRECT("G"&amp;ROW())="Add"</formula>
    </cfRule>
  </conditionalFormatting>
  <dataValidations count="2">
    <dataValidation type="list" allowBlank="1" showInputMessage="1" showErrorMessage="1" sqref="C9:C10" xr:uid="{00000000-0002-0000-1100-000000000000}">
      <formula1>"Yes, No"</formula1>
    </dataValidation>
    <dataValidation type="list" allowBlank="1" showInputMessage="1" showErrorMessage="1" sqref="C11:C13" xr:uid="{00000000-0002-0000-1100-000001000000}">
      <formula1>"Enclosed"</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H31"/>
  <sheetViews>
    <sheetView showGridLines="0" zoomScaleNormal="100" workbookViewId="0"/>
  </sheetViews>
  <sheetFormatPr baseColWidth="10" defaultColWidth="9" defaultRowHeight="13"/>
  <cols>
    <col min="1" max="1" width="9.5" style="50" customWidth="1"/>
    <col min="2" max="2" width="37.83203125" style="40" customWidth="1"/>
    <col min="3" max="3" width="32.6640625" style="40" customWidth="1"/>
    <col min="4" max="5" width="9.5" style="40" customWidth="1"/>
    <col min="6" max="6" width="9.1640625" style="40" customWidth="1"/>
    <col min="7" max="7" width="10.33203125" style="42" hidden="1" customWidth="1"/>
    <col min="8" max="8" width="56.1640625" style="40" hidden="1" customWidth="1"/>
    <col min="9" max="9" width="14.33203125" style="40" customWidth="1"/>
    <col min="10" max="11" width="9.83203125" style="40" customWidth="1"/>
    <col min="12" max="16384" width="9" style="40"/>
  </cols>
  <sheetData>
    <row r="1" spans="1:7" s="56"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G1" s="450" t="str">
        <f>IF(IF(AND(Part_4_8.2="Section not applicable",Part_4_8.4="Section not applicable"),COUNTIF(G9, "Add"),IF(Part_4_8.2="Section not applicable",SUM(COUNTIF(G9, "Add")+COUNTIF(G21:G23, "Add")),IF(Part_4_8.4="Section not applicable",COUNTIF(G9:G23, "Add"),ountif(G9:G30, "Add"))))&gt;0, "Incomplete", "Complete")</f>
        <v>Incomplete</v>
      </c>
    </row>
    <row r="2" spans="1:7" s="56"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G2" s="450"/>
    </row>
    <row r="3" spans="1:7" s="56" customFormat="1" ht="12.5" customHeight="1">
      <c r="A3" s="451"/>
      <c r="G3" s="452"/>
    </row>
    <row r="4" spans="1:7" s="271" customFormat="1" ht="18">
      <c r="A4" s="266" t="s">
        <v>208</v>
      </c>
      <c r="B4" s="266" t="s">
        <v>455</v>
      </c>
      <c r="C4" s="269"/>
      <c r="D4" s="269"/>
      <c r="E4" s="269"/>
      <c r="F4" s="270"/>
      <c r="G4" s="269"/>
    </row>
    <row r="5" spans="1:7" s="49" customFormat="1" ht="14">
      <c r="A5" s="68"/>
      <c r="B5" s="69"/>
      <c r="C5" s="66"/>
      <c r="D5" s="66"/>
      <c r="E5" s="66"/>
      <c r="F5" s="67"/>
      <c r="G5" s="66"/>
    </row>
    <row r="6" spans="1:7" s="49" customFormat="1" ht="15">
      <c r="A6" s="357" t="s">
        <v>454</v>
      </c>
      <c r="B6" s="358" t="str">
        <f>IF(AND(Part_4_8.2="Section not applicable",Part_4_8.4="Section not applicable"),"Insurances",IF(Part_4_8.2="Section not applicable","Insurances and Suppliers' Past Performance",IF(Part_4_8.4="Section not applicable","Insurances and Skills and Appreticies","Insurances, Skills and Appreticies and Suppliers' Past Performance")))</f>
        <v>Insurances</v>
      </c>
      <c r="C6" s="70"/>
      <c r="D6" s="70"/>
      <c r="E6" s="70"/>
      <c r="F6" s="70"/>
      <c r="G6" s="65"/>
    </row>
    <row r="7" spans="1:7">
      <c r="A7" s="71"/>
      <c r="B7" s="72"/>
      <c r="C7" s="73"/>
      <c r="D7" s="73"/>
      <c r="E7" s="73"/>
      <c r="F7" s="73"/>
    </row>
    <row r="8" spans="1:7" ht="14">
      <c r="A8" s="193" t="s">
        <v>925</v>
      </c>
      <c r="B8" s="193" t="s">
        <v>209</v>
      </c>
      <c r="C8" s="193" t="s">
        <v>19</v>
      </c>
      <c r="D8" s="74"/>
      <c r="E8" s="75"/>
      <c r="F8" s="76"/>
      <c r="G8" s="77"/>
    </row>
    <row r="9" spans="1:7" ht="56">
      <c r="A9" s="78" t="s">
        <v>457</v>
      </c>
      <c r="B9" s="79" t="s">
        <v>458</v>
      </c>
      <c r="C9" s="80"/>
      <c r="D9" s="81"/>
      <c r="E9" s="75"/>
      <c r="F9" s="76"/>
      <c r="G9" s="77" t="str">
        <f>IF(C9&lt;&gt;"", "Done", "Add")</f>
        <v>Add</v>
      </c>
    </row>
    <row r="10" spans="1:7" ht="14">
      <c r="A10" s="195"/>
      <c r="B10" s="82" t="str">
        <f>CONCATENATE("Employer’s (Compulsory) Liability Insurance: ")</f>
        <v xml:space="preserve">Employer’s (Compulsory) Liability Insurance: </v>
      </c>
      <c r="C10" s="83"/>
      <c r="D10" s="81"/>
      <c r="E10" s="75"/>
      <c r="F10" s="76"/>
      <c r="G10" s="77"/>
    </row>
    <row r="11" spans="1:7">
      <c r="A11" s="195"/>
      <c r="B11" s="203">
        <f t="array" ref="B11">INDEX(TBL_003_DocMerge[Insurance_Employers], MATCH(1, (TBL_003_DocMerge[Lot]=Doc_Lot)*(TBL_003_DocMerge[Job_No]=Job_No),0))</f>
        <v>10000000</v>
      </c>
      <c r="C11" s="84"/>
      <c r="D11" s="81"/>
      <c r="E11" s="75"/>
      <c r="F11" s="76"/>
      <c r="G11" s="77"/>
    </row>
    <row r="12" spans="1:7">
      <c r="A12" s="195"/>
      <c r="B12" s="203"/>
      <c r="C12" s="84"/>
      <c r="D12" s="81"/>
      <c r="E12" s="75"/>
      <c r="F12" s="76"/>
      <c r="G12" s="77"/>
    </row>
    <row r="13" spans="1:7" ht="14">
      <c r="A13" s="195"/>
      <c r="B13" s="82" t="str">
        <f>CONCATENATE("Public Liability Insurance: ")</f>
        <v xml:space="preserve">Public Liability Insurance: </v>
      </c>
      <c r="C13" s="84"/>
      <c r="D13" s="81"/>
      <c r="E13" s="75"/>
      <c r="F13" s="76"/>
      <c r="G13" s="77"/>
    </row>
    <row r="14" spans="1:7">
      <c r="A14" s="195"/>
      <c r="B14" s="203">
        <f t="array" ref="B14">INDEX(TBL_003_DocMerge[Insurance_third], MATCH(1, (TBL_003_DocMerge[Lot]=Doc_Lot)*(TBL_003_DocMerge[Job_No]=Job_No),0))</f>
        <v>10000000</v>
      </c>
      <c r="C14" s="84"/>
      <c r="D14" s="81"/>
      <c r="E14" s="75"/>
      <c r="F14" s="76"/>
      <c r="G14" s="77"/>
    </row>
    <row r="15" spans="1:7">
      <c r="A15" s="195"/>
      <c r="B15" s="203"/>
      <c r="C15" s="84"/>
      <c r="D15" s="81"/>
      <c r="E15" s="75"/>
      <c r="F15" s="76"/>
      <c r="G15" s="77"/>
    </row>
    <row r="16" spans="1:7" ht="14">
      <c r="A16" s="195"/>
      <c r="B16" s="82" t="str">
        <f>CONCATENATE("Professional Indemnity Insurance: ")</f>
        <v xml:space="preserve">Professional Indemnity Insurance: </v>
      </c>
      <c r="C16" s="84"/>
      <c r="D16" s="81"/>
      <c r="E16" s="75"/>
      <c r="F16" s="76"/>
      <c r="G16" s="77"/>
    </row>
    <row r="17" spans="1:8">
      <c r="A17" s="195"/>
      <c r="B17" s="203">
        <f t="array" ref="B17">INDEX(TBL_003_DocMerge[Insurance_PI], MATCH(1, (TBL_003_DocMerge[Lot]=Doc_Lot)*(TBL_003_DocMerge[Job_No]=Job_No),0))</f>
        <v>200000</v>
      </c>
      <c r="C17" s="84"/>
      <c r="D17" s="81"/>
      <c r="E17" s="75"/>
      <c r="F17" s="76"/>
      <c r="G17" s="77"/>
    </row>
    <row r="18" spans="1:8">
      <c r="A18" s="195"/>
      <c r="B18" s="203"/>
      <c r="C18" s="84"/>
      <c r="D18" s="81"/>
      <c r="E18" s="75"/>
      <c r="F18" s="76"/>
      <c r="G18" s="77"/>
    </row>
    <row r="19" spans="1:8" ht="70">
      <c r="A19" s="104"/>
      <c r="B19" s="85" t="s">
        <v>1078</v>
      </c>
      <c r="C19" s="86"/>
      <c r="D19" s="81"/>
      <c r="E19" s="75"/>
      <c r="F19" s="76"/>
      <c r="G19" s="77"/>
    </row>
    <row r="20" spans="1:8" ht="14" hidden="1">
      <c r="A20" s="196" t="s">
        <v>469</v>
      </c>
      <c r="B20" s="87" t="str">
        <f>Part_4_8.2</f>
        <v>Section not applicable</v>
      </c>
      <c r="C20" s="88"/>
      <c r="D20" s="81"/>
      <c r="E20" s="75"/>
      <c r="F20" s="76"/>
      <c r="G20" s="77"/>
    </row>
    <row r="21" spans="1:8" ht="84" hidden="1">
      <c r="A21" s="78" t="s">
        <v>459</v>
      </c>
      <c r="B21" s="89" t="str">
        <f>IF(Part_4_8.2="Section not applicable", "Question not applicable", H21)</f>
        <v>Question not applicable</v>
      </c>
      <c r="C21" s="80"/>
      <c r="D21" s="81"/>
      <c r="E21" s="75"/>
      <c r="F21" s="76"/>
      <c r="G21" s="77" t="str">
        <f>IF(Part_4_8.2="Section not applicable", "Shade", IF(C21&lt;&gt;"", "Done","Add"))</f>
        <v>Shade</v>
      </c>
      <c r="H21" s="39" t="s">
        <v>462</v>
      </c>
    </row>
    <row r="22" spans="1:8" ht="70" hidden="1">
      <c r="A22" s="78" t="s">
        <v>460</v>
      </c>
      <c r="B22" s="89" t="str">
        <f>IF(Part_4_8.2="Section not applicable", "Question not applicable", H22)</f>
        <v>Question not applicable</v>
      </c>
      <c r="C22" s="80"/>
      <c r="D22" s="81"/>
      <c r="E22" s="75"/>
      <c r="F22" s="76"/>
      <c r="G22" s="77" t="str">
        <f>IF(Part_4_8.2="Section not applicable", "Shade", IF($C$21="Yes", IF(C22&lt;&gt;"", "Done","Add"), "Shade"))</f>
        <v>Shade</v>
      </c>
      <c r="H22" s="89" t="s">
        <v>468</v>
      </c>
    </row>
    <row r="23" spans="1:8" ht="42" hidden="1">
      <c r="A23" s="194" t="s">
        <v>461</v>
      </c>
      <c r="B23" s="89" t="str">
        <f>IF(Part_4_8.2="Section not applicable", "Question not applicable", H23)</f>
        <v>Question not applicable</v>
      </c>
      <c r="C23" s="80"/>
      <c r="D23" s="81"/>
      <c r="E23" s="75"/>
      <c r="F23" s="76"/>
      <c r="G23" s="77" t="str">
        <f>IF(Part_4_8.2="Section not applicable", "Shade", IF(C23&lt;&gt;"", "Done","Add"))</f>
        <v>Shade</v>
      </c>
      <c r="H23" s="89" t="s">
        <v>473</v>
      </c>
    </row>
    <row r="24" spans="1:8" ht="14" hidden="1">
      <c r="A24" s="197" t="s">
        <v>471</v>
      </c>
      <c r="B24" s="87" t="s">
        <v>472</v>
      </c>
      <c r="C24" s="88"/>
      <c r="D24" s="81"/>
      <c r="E24" s="75"/>
      <c r="F24" s="76"/>
      <c r="G24" s="77"/>
    </row>
    <row r="25" spans="1:8" ht="14" hidden="1">
      <c r="A25" s="197" t="s">
        <v>470</v>
      </c>
      <c r="B25" s="87" t="str">
        <f>Part_4_8.4</f>
        <v>Section not applicable</v>
      </c>
      <c r="C25" s="88"/>
    </row>
    <row r="26" spans="1:8" ht="28" hidden="1">
      <c r="A26" s="198" t="s">
        <v>474</v>
      </c>
      <c r="B26" s="90" t="str">
        <f>IF(Part_4_8.4="Section not applicable", "Question not applicable", H26)</f>
        <v>Question not applicable</v>
      </c>
      <c r="C26" s="80"/>
      <c r="G26" s="77" t="str">
        <f>IF(Part_4_8.4="Section not applicable", "Shade", IF(C26&lt;&gt;"", "Done","Add"))</f>
        <v>Shade</v>
      </c>
      <c r="H26" s="41" t="s">
        <v>479</v>
      </c>
    </row>
    <row r="27" spans="1:8" ht="28" hidden="1">
      <c r="A27" s="198" t="s">
        <v>475</v>
      </c>
      <c r="B27" s="90" t="str">
        <f>IF(Part_4_8.4="Section not applicable", "Question not applicable", H27)</f>
        <v>Question not applicable</v>
      </c>
      <c r="C27" s="80"/>
      <c r="G27" s="77" t="str">
        <f>IF(Part_4_8.4="Section not applicable", "Shade", IF(C27&lt;&gt;"", "Done","Add"))</f>
        <v>Shade</v>
      </c>
      <c r="H27" s="41" t="s">
        <v>480</v>
      </c>
    </row>
    <row r="28" spans="1:8" ht="28" hidden="1">
      <c r="A28" s="198" t="s">
        <v>476</v>
      </c>
      <c r="B28" s="90" t="str">
        <f>IF(Part_4_8.4="Section not applicable", "Question not applicable", H28)</f>
        <v>Question not applicable</v>
      </c>
      <c r="C28" s="80"/>
      <c r="G28" s="77" t="str">
        <f>IF(Part_4_8.4="Section not applicable", "Shade", IF(C28&lt;&gt;"", "Done","Add"))</f>
        <v>Shade</v>
      </c>
      <c r="H28" s="41" t="s">
        <v>481</v>
      </c>
    </row>
    <row r="29" spans="1:8" ht="42" hidden="1">
      <c r="A29" s="198" t="s">
        <v>477</v>
      </c>
      <c r="B29" s="90" t="str">
        <f>IF(Part_4_8.4="Section not applicable", "Question not applicable", H29)</f>
        <v>Question not applicable</v>
      </c>
      <c r="C29" s="80"/>
      <c r="G29" s="77" t="str">
        <f>IF(Part_4_8.4="Section not applicable", "Shade", IF(C29&lt;&gt;"", "Done","Add"))</f>
        <v>Shade</v>
      </c>
      <c r="H29" s="41" t="s">
        <v>482</v>
      </c>
    </row>
    <row r="30" spans="1:8" ht="42" hidden="1">
      <c r="A30" s="198" t="s">
        <v>478</v>
      </c>
      <c r="B30" s="90" t="str">
        <f>IF(Part_4_8.4="Section not applicable", "Question not applicable", H30)</f>
        <v>Question not applicable</v>
      </c>
      <c r="C30" s="80"/>
      <c r="G30" s="77" t="str">
        <f>IF(Part_4_8.4="Section not applicable", "Shade", IF(C30&lt;&gt;"", "Done","Add"))</f>
        <v>Shade</v>
      </c>
      <c r="H30" s="41" t="s">
        <v>483</v>
      </c>
    </row>
    <row r="31" spans="1:8" hidden="1"/>
  </sheetData>
  <sheetProtection algorithmName="SHA-512" hashValue="IDGhiKC/nZUlCVGnhia+87SnCNinkEVeg7UnEfPkrA9wxcVhiNu1ffTJaR9cu1Yj8gbFiQt9gJQQhlEnP4UIew==" saltValue="uoUXgXdXm8Mn8HUEA/HW8Q==" spinCount="100000" sheet="1" formatRows="0"/>
  <protectedRanges>
    <protectedRange sqref="C9:C30" name="Responses"/>
  </protectedRanges>
  <conditionalFormatting sqref="C9:C23">
    <cfRule type="expression" dxfId="213" priority="7">
      <formula>INDIRECT("G"&amp;ROW())="Shade"</formula>
    </cfRule>
    <cfRule type="expression" dxfId="212" priority="8">
      <formula>INDIRECT("G"&amp;ROW())="Done"</formula>
    </cfRule>
    <cfRule type="expression" dxfId="211" priority="9">
      <formula>INDIRECT("G"&amp;ROW())="Add"</formula>
    </cfRule>
  </conditionalFormatting>
  <conditionalFormatting sqref="C24:C25">
    <cfRule type="expression" dxfId="210" priority="4">
      <formula>INDIRECT("G"&amp;ROW())="Shade"</formula>
    </cfRule>
    <cfRule type="expression" dxfId="209" priority="5">
      <formula>INDIRECT("G"&amp;ROW())="Done"</formula>
    </cfRule>
    <cfRule type="expression" dxfId="208" priority="6">
      <formula>INDIRECT("G"&amp;ROW())="Add"</formula>
    </cfRule>
  </conditionalFormatting>
  <conditionalFormatting sqref="C26:C30">
    <cfRule type="expression" dxfId="207" priority="1">
      <formula>INDIRECT("G"&amp;ROW())="Shade"</formula>
    </cfRule>
    <cfRule type="expression" dxfId="206" priority="2">
      <formula>INDIRECT("G"&amp;ROW())="Done"</formula>
    </cfRule>
    <cfRule type="expression" dxfId="205" priority="3">
      <formula>INDIRECT("G"&amp;ROW())="Add"</formula>
    </cfRule>
  </conditionalFormatting>
  <dataValidations disablePrompts="1" count="1">
    <dataValidation type="list" allowBlank="1" showInputMessage="1" showErrorMessage="1" sqref="C9 C21:C23 C26:C30" xr:uid="{00000000-0002-0000-1200-000000000000}">
      <formula1>"Yes, No"</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61D0-44C0-4A3D-B52F-6567F5EB8887}">
  <dimension ref="A1:G36"/>
  <sheetViews>
    <sheetView showGridLines="0" zoomScaleNormal="100" workbookViewId="0"/>
  </sheetViews>
  <sheetFormatPr baseColWidth="10" defaultColWidth="9" defaultRowHeight="13"/>
  <cols>
    <col min="1" max="1" width="9.5" style="58" customWidth="1"/>
    <col min="2" max="2" width="65.1640625" style="310" customWidth="1"/>
    <col min="3" max="3" width="12.33203125" style="45" customWidth="1"/>
    <col min="4" max="6" width="9" style="30"/>
    <col min="7" max="7" width="9.1640625" style="26" hidden="1" customWidth="1"/>
    <col min="8" max="16384" width="9" style="30"/>
  </cols>
  <sheetData>
    <row r="1" spans="1:7" s="441" customFormat="1" ht="12.5" customHeight="1">
      <c r="A1" s="177" t="str">
        <f t="array" ref="A1">CONCATENATE(INDEX(TBL_003_DocMerge[Abb_Stage], MATCH(1, (Doc_Lot=TBL_003_DocMerge[Lot])*(Job_No=TBL_003_DocMerge[Job_No]),0)), " submission for ", INDEX(TBL_003_DocMerge[Client], MATCH(1, (Doc_Lot=TBL_003_DocMerge[Lot])*(Job_No=TBL_003_DocMerge[Job_No]),0)), " - ", INDEX(TBL_003_DocMerge[Project_Title], MATCH(1, (Doc_Lot=TBL_003_DocMerge[Lot])*(Job_No=TBL_003_DocMerge[Job_No]),0)), " (", Job_No, ")")</f>
        <v>SQ submission for ISHA - Dynamic Purchasing System - Responsive Repairs and Voids (T1-5622)</v>
      </c>
      <c r="B1" s="278"/>
      <c r="C1" s="440"/>
      <c r="G1" s="445" t="str">
        <f>IF(COUNTIF(G22:G37, "Add")&gt;0, "Incomplete", "Complete")</f>
        <v>Incomplete</v>
      </c>
    </row>
    <row r="2" spans="1:7" s="441" customFormat="1" ht="12.5" customHeight="1">
      <c r="A2" s="177" t="str">
        <f t="array" ref="A2">CONCATENATE(INDEX(TBL_003_DocMerge[Supplier_Type], MATCH(1, (Doc_Lot=TBL_003_DocMerge[Lot])*(Job_No=TBL_003_DocMerge[Job_No]),0)), ":")</f>
        <v>Candidate:</v>
      </c>
      <c r="B2" s="177" t="str">
        <f t="array" ref="B2">INDEX(TBL_003_DocMerge[Supplier_Name],MATCH(1,(Doc_Lot=TBL_003_DocMerge[Lot])*(Job_No=TBL_003_DocMerge[Job_No]),0))</f>
        <v/>
      </c>
      <c r="C2" s="440"/>
      <c r="G2" s="445"/>
    </row>
    <row r="3" spans="1:7" s="441" customFormat="1" ht="12.5" customHeight="1">
      <c r="A3" s="443"/>
      <c r="B3" s="444"/>
      <c r="C3" s="440"/>
      <c r="G3" s="446"/>
    </row>
    <row r="4" spans="1:7" s="271" customFormat="1" ht="18">
      <c r="A4" s="273" t="s">
        <v>101</v>
      </c>
      <c r="B4" s="274"/>
      <c r="C4" s="462"/>
    </row>
    <row r="5" spans="1:7" s="215" customFormat="1">
      <c r="A5" s="58"/>
      <c r="B5" s="59"/>
      <c r="C5" s="277"/>
      <c r="G5" s="418"/>
    </row>
    <row r="6" spans="1:7" ht="14" customHeight="1">
      <c r="A6" s="559" t="s">
        <v>178</v>
      </c>
      <c r="B6" s="559"/>
      <c r="C6" s="559"/>
    </row>
    <row r="7" spans="1:7">
      <c r="A7" s="199"/>
      <c r="C7" s="60"/>
    </row>
    <row r="8" spans="1:7">
      <c r="A8" s="199">
        <v>1</v>
      </c>
      <c r="B8" s="559" t="s">
        <v>757</v>
      </c>
      <c r="C8" s="559"/>
    </row>
    <row r="9" spans="1:7">
      <c r="A9" s="199"/>
      <c r="C9" s="60"/>
    </row>
    <row r="10" spans="1:7" ht="45" customHeight="1">
      <c r="A10" s="199">
        <v>2</v>
      </c>
      <c r="B10" s="559" t="s">
        <v>752</v>
      </c>
      <c r="C10" s="559"/>
    </row>
    <row r="11" spans="1:7">
      <c r="A11" s="199"/>
      <c r="B11" s="43"/>
      <c r="C11" s="60"/>
    </row>
    <row r="12" spans="1:7" ht="28" customHeight="1">
      <c r="A12" s="199">
        <v>3</v>
      </c>
      <c r="B12" s="559" t="s">
        <v>753</v>
      </c>
      <c r="C12" s="559"/>
    </row>
    <row r="13" spans="1:7">
      <c r="A13" s="199"/>
      <c r="C13" s="60"/>
    </row>
    <row r="14" spans="1:7" ht="41" customHeight="1">
      <c r="A14" s="199">
        <v>4</v>
      </c>
      <c r="B14" s="570" t="s">
        <v>1274</v>
      </c>
      <c r="C14" s="559"/>
    </row>
    <row r="15" spans="1:7">
      <c r="A15" s="199"/>
      <c r="C15" s="60"/>
    </row>
    <row r="16" spans="1:7" ht="31.5" customHeight="1">
      <c r="A16" s="199" t="s">
        <v>634</v>
      </c>
      <c r="B16" s="559" t="s">
        <v>664</v>
      </c>
      <c r="C16" s="559"/>
    </row>
    <row r="17" spans="1:7">
      <c r="C17" s="60"/>
    </row>
    <row r="18" spans="1:7" ht="28.5" customHeight="1">
      <c r="A18" s="569" t="s">
        <v>1050</v>
      </c>
      <c r="B18" s="569"/>
      <c r="C18" s="569"/>
    </row>
    <row r="20" spans="1:7" ht="14">
      <c r="A20" s="361" t="s">
        <v>1099</v>
      </c>
      <c r="B20" s="362" t="s">
        <v>103</v>
      </c>
      <c r="C20" s="363" t="s">
        <v>635</v>
      </c>
    </row>
    <row r="21" spans="1:7" ht="16">
      <c r="A21" s="355" t="s">
        <v>206</v>
      </c>
      <c r="B21" s="567" t="s">
        <v>636</v>
      </c>
      <c r="C21" s="568"/>
    </row>
    <row r="22" spans="1:7" ht="28">
      <c r="A22" s="200" t="s">
        <v>639</v>
      </c>
      <c r="B22" s="61" t="s">
        <v>640</v>
      </c>
      <c r="C22" s="62"/>
      <c r="G22" s="26" t="str">
        <f>IF('Part 1_Supplier Info'!$G$20="Shade", "Shade", IF(C22&lt;&gt;"", "Done", "Add"))</f>
        <v>Shade</v>
      </c>
    </row>
    <row r="23" spans="1:7" ht="14">
      <c r="A23" s="200" t="s">
        <v>639</v>
      </c>
      <c r="B23" s="61" t="s">
        <v>647</v>
      </c>
      <c r="C23" s="62"/>
      <c r="G23" s="26" t="str">
        <f>IF('Part 1_Supplier Info'!$G$22="Shade", "Shade", IF(C23&lt;&gt;"", "Done", "Add"))</f>
        <v>Shade</v>
      </c>
    </row>
    <row r="24" spans="1:7" ht="16">
      <c r="A24" s="355" t="s">
        <v>207</v>
      </c>
      <c r="B24" s="567" t="s">
        <v>637</v>
      </c>
      <c r="C24" s="568"/>
    </row>
    <row r="25" spans="1:7" ht="14">
      <c r="A25" s="201" t="s">
        <v>641</v>
      </c>
      <c r="B25" s="63" t="s">
        <v>642</v>
      </c>
      <c r="C25" s="62"/>
      <c r="G25" s="26" t="str">
        <f>IF('Part 2_Section 2'!$G$18="Shade", "Shade", IF(C25&lt;&gt;"", "", "Add"))</f>
        <v>Shade</v>
      </c>
    </row>
    <row r="26" spans="1:7" ht="14">
      <c r="A26" s="201">
        <v>2.2000000000000002</v>
      </c>
      <c r="B26" s="63" t="s">
        <v>648</v>
      </c>
      <c r="C26" s="62"/>
      <c r="G26" s="26" t="str">
        <f>IF('Part 2_Section 2'!$G$19="Shade", "Shade", IF(C26&lt;&gt;"", "", "Add"))</f>
        <v>Shade</v>
      </c>
    </row>
    <row r="27" spans="1:7" ht="14">
      <c r="A27" s="201" t="s">
        <v>329</v>
      </c>
      <c r="B27" s="63" t="s">
        <v>643</v>
      </c>
      <c r="C27" s="62"/>
      <c r="G27" s="26" t="str">
        <f>IF('Part 2_Section 2'!$G$21="Shade", "Shade", IF(C27&lt;&gt;"", "", "Add"))</f>
        <v>Shade</v>
      </c>
    </row>
    <row r="28" spans="1:7" ht="16">
      <c r="A28" s="355" t="s">
        <v>207</v>
      </c>
      <c r="B28" s="567" t="s">
        <v>644</v>
      </c>
      <c r="C28" s="568"/>
    </row>
    <row r="29" spans="1:7" ht="14">
      <c r="A29" s="201">
        <v>3.2</v>
      </c>
      <c r="B29" s="63" t="s">
        <v>648</v>
      </c>
      <c r="C29" s="62"/>
      <c r="G29" s="26" t="str">
        <f>IF('Part 2_Section 3'!$G$24="Shade", "Shade", IF(C29&lt;&gt;"", "", "Add"))</f>
        <v>Shade</v>
      </c>
    </row>
    <row r="30" spans="1:7" ht="16">
      <c r="A30" s="355" t="s">
        <v>208</v>
      </c>
      <c r="B30" s="567" t="s">
        <v>1158</v>
      </c>
      <c r="C30" s="568"/>
    </row>
    <row r="31" spans="1:7" ht="14">
      <c r="A31" s="201">
        <v>4.0999999999999996</v>
      </c>
      <c r="B31" s="417" t="s">
        <v>1162</v>
      </c>
      <c r="C31" s="62"/>
      <c r="G31" s="26" t="str">
        <f>IF('Part 3_Section 4 &amp; 5'!$G$10="Shade", "Shade", IF(C31&lt;&gt;"","","Add"))</f>
        <v>Add</v>
      </c>
    </row>
    <row r="32" spans="1:7" ht="42">
      <c r="A32" s="201" t="s">
        <v>1159</v>
      </c>
      <c r="B32" s="417" t="s">
        <v>378</v>
      </c>
      <c r="C32" s="62"/>
      <c r="G32" s="26" t="str">
        <f>IF('Part 3_Section 4 &amp; 5'!$G$11="Shade", "Shade", IF(C32&lt;&gt;"","","Add"))</f>
        <v>Shade</v>
      </c>
    </row>
    <row r="33" spans="1:7" ht="28">
      <c r="A33" s="201" t="s">
        <v>1160</v>
      </c>
      <c r="B33" s="417" t="s">
        <v>380</v>
      </c>
      <c r="C33" s="62"/>
      <c r="G33" s="26" t="str">
        <f>IF('Part 3_Section 4 &amp; 5'!$G$12="Shade", "Shade", IF(C33&lt;&gt;"","","Add"))</f>
        <v>Shade</v>
      </c>
    </row>
    <row r="34" spans="1:7" ht="56">
      <c r="A34" s="201" t="s">
        <v>1161</v>
      </c>
      <c r="B34" s="417" t="s">
        <v>382</v>
      </c>
      <c r="C34" s="62"/>
      <c r="G34" s="26" t="str">
        <f>IF('Part 3_Section 4 &amp; 5'!$G$13="Shade", "Shade", IF(C34&lt;&gt;"","","Add"))</f>
        <v>Shade</v>
      </c>
    </row>
    <row r="35" spans="1:7" ht="16">
      <c r="A35" s="355" t="s">
        <v>208</v>
      </c>
      <c r="B35" s="567" t="s">
        <v>638</v>
      </c>
      <c r="C35" s="568"/>
    </row>
    <row r="36" spans="1:7" ht="14">
      <c r="A36" s="200">
        <v>7.2</v>
      </c>
      <c r="B36" s="64" t="s">
        <v>645</v>
      </c>
      <c r="C36" s="62"/>
      <c r="G36" s="26" t="str">
        <f>IF('Part 3_Section 7'!$G$11="Shade", "Shade", IF(C36&lt;&gt;"", "", "Add"))</f>
        <v>Shade</v>
      </c>
    </row>
  </sheetData>
  <sheetProtection algorithmName="SHA-512" hashValue="7DvtHTCw71ECLPE3q1W1XCP5neI049Rfuqt01ReQxKq3EMAKeZSyG+BtoHDU/CfcFL1Jz1IVh9pbSsdFJRuhEg==" saltValue="Juk7IPQDZac3loo88iieng==" spinCount="100000" sheet="1" formatRows="0"/>
  <protectedRanges>
    <protectedRange sqref="C22:C23 C36 C29 C25:C27 C31:C34" name="Data_2"/>
  </protectedRanges>
  <mergeCells count="12">
    <mergeCell ref="A6:C6"/>
    <mergeCell ref="B8:C8"/>
    <mergeCell ref="B10:C10"/>
    <mergeCell ref="B12:C12"/>
    <mergeCell ref="B14:C14"/>
    <mergeCell ref="B35:C35"/>
    <mergeCell ref="B16:C16"/>
    <mergeCell ref="A18:C18"/>
    <mergeCell ref="B24:C24"/>
    <mergeCell ref="B21:C21"/>
    <mergeCell ref="B28:C28"/>
    <mergeCell ref="B30:C30"/>
  </mergeCells>
  <conditionalFormatting sqref="C22:C23 C29 C36 C25:C27 C31:C34">
    <cfRule type="expression" dxfId="204" priority="3">
      <formula>INDIRECT("G"&amp;ROW())="Shade"</formula>
    </cfRule>
    <cfRule type="expression" dxfId="203" priority="4">
      <formula>INDIRECT("G"&amp;ROW())="Done"</formula>
    </cfRule>
    <cfRule type="expression" dxfId="202" priority="5">
      <formula>INDIRECT("G"&amp;ROW())="Add"</formula>
    </cfRule>
  </conditionalFormatting>
  <conditionalFormatting sqref="B2">
    <cfRule type="expression" dxfId="201" priority="1">
      <formula>INDIRECT("B"&amp;ROW())="Not used"</formula>
    </cfRule>
  </conditionalFormatting>
  <dataValidations count="1">
    <dataValidation type="list" allowBlank="1" showInputMessage="1" showErrorMessage="1" sqref="C22:C23 C25:C27 C36 C29 C31:C34" xr:uid="{7B4BA383-5DEC-4A02-91C1-3739E3EFECCE}">
      <formula1>"Enclosed, N/A"</formula1>
    </dataValidation>
  </dataValidations>
  <pageMargins left="0.78740157480314965" right="0.78740157480314965" top="0.39370078740157483" bottom="0.78740157480314965" header="0" footer="0.39370078740157483"/>
  <pageSetup paperSize="9" orientation="portrait" r:id="rId1"/>
  <headerFooter>
    <oddFooter>&amp;C&amp;"Arial,Regular"&amp;10&amp;K00-049&amp;P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B25E-0F1B-47C6-81D8-BB3D1F1F524F}">
  <dimension ref="A1:BC29"/>
  <sheetViews>
    <sheetView topLeftCell="A30" workbookViewId="0">
      <selection activeCell="A29" sqref="A1:XFD29"/>
    </sheetView>
  </sheetViews>
  <sheetFormatPr baseColWidth="10" defaultColWidth="9.1640625" defaultRowHeight="14"/>
  <cols>
    <col min="1" max="55" width="21.1640625" style="1" customWidth="1"/>
    <col min="56" max="56" width="14.83203125" style="1" bestFit="1" customWidth="1"/>
    <col min="57" max="57" width="13.6640625" style="1" customWidth="1"/>
    <col min="58" max="16384" width="9.1640625" style="1"/>
  </cols>
  <sheetData>
    <row r="1" spans="1:55" hidden="1">
      <c r="A1" s="12" t="s">
        <v>861</v>
      </c>
      <c r="B1" s="11" t="s">
        <v>796</v>
      </c>
      <c r="C1" s="12" t="s">
        <v>806</v>
      </c>
      <c r="D1" s="12" t="s">
        <v>809</v>
      </c>
      <c r="E1" s="11" t="s">
        <v>808</v>
      </c>
      <c r="F1" s="12" t="s">
        <v>807</v>
      </c>
      <c r="G1" s="532" t="s">
        <v>1259</v>
      </c>
    </row>
    <row r="2" spans="1:55" hidden="1">
      <c r="A2" s="16" t="str">
        <f>Contents!$C$7</f>
        <v>Incomplete</v>
      </c>
      <c r="B2" s="16">
        <f>IF(Lotted?="Yes", Lot_1, "Yes")</f>
        <v>0</v>
      </c>
      <c r="C2" s="16">
        <f>IF(AND(Lotted?="Yes", No_Lots?&gt;=2), Lot_2, "N/A")</f>
        <v>0</v>
      </c>
      <c r="D2" s="16">
        <f>IF(AND(Lotted?="Yes", No_Lots?&gt;=3), Lot_3, "N/A")</f>
        <v>0</v>
      </c>
      <c r="E2" s="16">
        <f>IF(AND(Lotted?="Yes", No_Lots?&gt;=4), Lot_4, "N/A")</f>
        <v>0</v>
      </c>
      <c r="F2" s="16">
        <f>IF(AND(Lotted?="Yes", No_Lots?&gt;=5), Lot_5, "N/A")</f>
        <v>0</v>
      </c>
      <c r="G2" s="16">
        <f>IF(AND(Lotted?="Yes", No_Lots?&gt;=6), Lot_6, "N/A")</f>
        <v>0</v>
      </c>
    </row>
    <row r="3" spans="1:55" hidden="1"/>
    <row r="4" spans="1:55" hidden="1">
      <c r="A4" s="12" t="s">
        <v>485</v>
      </c>
      <c r="B4" s="314" t="s">
        <v>593</v>
      </c>
      <c r="C4" s="12" t="s">
        <v>487</v>
      </c>
      <c r="D4" s="13" t="s">
        <v>488</v>
      </c>
      <c r="E4" s="13" t="s">
        <v>489</v>
      </c>
      <c r="F4" s="13" t="s">
        <v>490</v>
      </c>
      <c r="G4" s="13" t="s">
        <v>491</v>
      </c>
      <c r="H4" s="13" t="s">
        <v>492</v>
      </c>
      <c r="I4" s="13" t="s">
        <v>493</v>
      </c>
      <c r="J4" s="13" t="s">
        <v>494</v>
      </c>
      <c r="K4" s="13" t="s">
        <v>495</v>
      </c>
      <c r="L4" s="13" t="s">
        <v>496</v>
      </c>
      <c r="M4" s="13" t="s">
        <v>497</v>
      </c>
      <c r="N4" s="13" t="s">
        <v>498</v>
      </c>
      <c r="O4" s="13" t="s">
        <v>499</v>
      </c>
      <c r="P4" s="13" t="s">
        <v>500</v>
      </c>
      <c r="Q4" s="13" t="s">
        <v>501</v>
      </c>
      <c r="R4" s="13" t="s">
        <v>502</v>
      </c>
      <c r="S4" s="13" t="s">
        <v>503</v>
      </c>
      <c r="T4" s="13" t="s">
        <v>504</v>
      </c>
      <c r="U4" s="13" t="s">
        <v>505</v>
      </c>
      <c r="V4" s="13" t="s">
        <v>506</v>
      </c>
      <c r="W4" s="13" t="s">
        <v>507</v>
      </c>
      <c r="X4" s="13" t="s">
        <v>508</v>
      </c>
      <c r="Y4" s="13" t="s">
        <v>509</v>
      </c>
      <c r="Z4" s="13" t="s">
        <v>510</v>
      </c>
      <c r="AA4" s="13" t="s">
        <v>511</v>
      </c>
      <c r="AB4" s="13" t="s">
        <v>512</v>
      </c>
      <c r="AC4" s="13" t="s">
        <v>513</v>
      </c>
      <c r="AD4" s="13" t="s">
        <v>514</v>
      </c>
      <c r="AE4" s="13" t="s">
        <v>515</v>
      </c>
      <c r="AF4" s="13" t="s">
        <v>516</v>
      </c>
      <c r="AG4" s="13" t="s">
        <v>517</v>
      </c>
      <c r="AH4" s="13" t="s">
        <v>518</v>
      </c>
      <c r="AI4" s="13" t="s">
        <v>519</v>
      </c>
      <c r="AJ4" s="13" t="s">
        <v>520</v>
      </c>
      <c r="AK4" s="13" t="s">
        <v>521</v>
      </c>
    </row>
    <row r="5" spans="1:55" s="14" customFormat="1" ht="13" hidden="1">
      <c r="A5" s="14" t="str">
        <f>Contents!$C$8</f>
        <v>Incomplete</v>
      </c>
      <c r="B5" s="14" t="str">
        <f>IF('Part 1_Supplier Info'!$C$9&lt;&gt;"", 'Part 1_Supplier Info'!$C$9, "")</f>
        <v/>
      </c>
      <c r="C5" s="14" t="str">
        <f>IF('Part 1_Supplier Info'!$C$10&lt;&gt;"", 'Part 1_Supplier Info'!$C$10, "")</f>
        <v/>
      </c>
      <c r="D5" s="14" t="str">
        <f>IF('Part 1_Supplier Info'!$C$11&lt;&gt;"", 'Part 1_Supplier Info'!$C$11, "")</f>
        <v/>
      </c>
      <c r="E5" s="14" t="str">
        <f>IF('Part 1_Supplier Info'!$C$12&lt;&gt;"", 'Part 1_Supplier Info'!$C$12, "")</f>
        <v/>
      </c>
      <c r="F5" s="14" t="str">
        <f>IF('Part 1_Supplier Info'!$C$13&lt;&gt;"", 'Part 1_Supplier Info'!$C$13, "")</f>
        <v/>
      </c>
      <c r="G5" s="14" t="str">
        <f>IF('Part 1_Supplier Info'!$C$14&lt;&gt;"", 'Part 1_Supplier Info'!$C$14, "")</f>
        <v/>
      </c>
      <c r="H5" s="14" t="str">
        <f>IF('Part 1_Supplier Info'!$C$15&lt;&gt;"", 'Part 1_Supplier Info'!$C$15, "")</f>
        <v/>
      </c>
      <c r="I5" s="14" t="str">
        <f>IF('Part 1_Supplier Info'!$C$16&lt;&gt;"", 'Part 1_Supplier Info'!$C$16, "")</f>
        <v/>
      </c>
      <c r="J5" s="14" t="str">
        <f>IF('Part 1_Supplier Info'!$C$17&lt;&gt;"", 'Part 1_Supplier Info'!$C$17, "")</f>
        <v/>
      </c>
      <c r="K5" s="14" t="str">
        <f>IF('Part 1_Supplier Info'!$C$18&lt;&gt;"", 'Part 1_Supplier Info'!$C$18, "")</f>
        <v/>
      </c>
      <c r="L5" s="14" t="str">
        <f>IF('Part 1_Supplier Info'!$C$19&lt;&gt;"", 'Part 1_Supplier Info'!$C$19, "")</f>
        <v/>
      </c>
      <c r="M5" s="14" t="str">
        <f>IF('Part 1_Supplier Info'!$C$20&lt;&gt;"", 'Part 1_Supplier Info'!$C$20, "")</f>
        <v/>
      </c>
      <c r="N5" s="14" t="str">
        <f>IF('Part 1_Supplier Info'!$C$21&lt;&gt;"", 'Part 1_Supplier Info'!$C$21, "")</f>
        <v/>
      </c>
      <c r="O5" s="14" t="str">
        <f>IF('Part 1_Supplier Info'!$C$22&lt;&gt;"", 'Part 1_Supplier Info'!$C$22, "")</f>
        <v/>
      </c>
      <c r="P5" s="14" t="str">
        <f>IF('Part 1_Supplier Info'!$C$23&lt;&gt;"", 'Part 1_Supplier Info'!$C$23, "")</f>
        <v/>
      </c>
      <c r="Q5" s="14" t="str">
        <f>IF('Part 1_Supplier Info'!$C$25&lt;&gt;"", 'Part 1_Supplier Info'!$C$25, "")</f>
        <v/>
      </c>
      <c r="R5" s="14" t="str">
        <f>IF('Part 1_Supplier Info'!$C$26&lt;&gt;"", 'Part 1_Supplier Info'!$C$26, "")</f>
        <v/>
      </c>
      <c r="S5" s="14" t="str">
        <f>IF('Part 1_Supplier Info'!$C$27&lt;&gt;"", 'Part 1_Supplier Info'!$C$27, "")</f>
        <v/>
      </c>
      <c r="T5" s="14" t="str">
        <f>IF('Part 1_Supplier Info'!$C$28&lt;&gt;"", 'Part 1_Supplier Info'!$C$28, "")</f>
        <v/>
      </c>
      <c r="U5" s="14" t="str">
        <f>IF('Part 1_Supplier Info'!$C$30&lt;&gt;"", 'Part 1_Supplier Info'!$C$30, "")</f>
        <v/>
      </c>
      <c r="V5" s="14" t="str">
        <f>IF('Part 1_Supplier Info'!$C$31&lt;&gt;"", 'Part 1_Supplier Info'!$C$31, "")</f>
        <v/>
      </c>
      <c r="W5" s="14" t="str">
        <f>IF('Part 1_Supplier Info'!$C$32&lt;&gt;"", 'Part 1_Supplier Info'!$C$32, "")</f>
        <v/>
      </c>
      <c r="X5" s="14" t="str">
        <f>IF('Part 1_Supplier Info'!$C$33&lt;&gt;"", 'Part 1_Supplier Info'!$C$33, "")</f>
        <v/>
      </c>
      <c r="Y5" s="14" t="str">
        <f>IF('Part 1_Supplier Info'!$C$34&lt;&gt;"", 'Part 1_Supplier Info'!$C$34, "")</f>
        <v/>
      </c>
      <c r="Z5" s="14" t="str">
        <f>IF('Part 1_Supplier Info'!$C$35&lt;&gt;"", 'Part 1_Supplier Info'!$C$35, "")</f>
        <v/>
      </c>
      <c r="AA5" s="14" t="str">
        <f>IF('Part 1_Supplier Info'!$C$36&lt;&gt;"", 'Part 1_Supplier Info'!$C$36, "")</f>
        <v/>
      </c>
      <c r="AB5" s="14" t="str">
        <f>IF('Part 1_Supplier Info'!$C$38&lt;&gt;"", 'Part 1_Supplier Info'!$C$38, "")</f>
        <v/>
      </c>
      <c r="AC5" s="14" t="str">
        <f>IF('Part 1_Supplier Info'!$C$39&lt;&gt;"", 'Part 1_Supplier Info'!$C$39, "")</f>
        <v/>
      </c>
      <c r="AD5" s="14" t="str">
        <f>IF('Part 1_Supplier Info'!$C$40&lt;&gt;"", 'Part 1_Supplier Info'!$C$40, "")</f>
        <v/>
      </c>
      <c r="AE5" s="14" t="str">
        <f>IF('Part 1_Supplier Info'!$C$41&lt;&gt;"", 'Part 1_Supplier Info'!$C$41, "")</f>
        <v/>
      </c>
      <c r="AF5" s="14" t="str">
        <f>IF('Part 1_Supplier Info'!$C$42&lt;&gt;"", 'Part 1_Supplier Info'!$C$42, "")</f>
        <v/>
      </c>
      <c r="AG5" s="14" t="str">
        <f>IF('Part 1_Supplier Info'!$C$44&lt;&gt;"", 'Part 1_Supplier Info'!$C$44, "")</f>
        <v/>
      </c>
      <c r="AH5" s="14" t="str">
        <f>IF('Part 1_Supplier Info'!$C$45&lt;&gt;"", 'Part 1_Supplier Info'!$C$45, "")</f>
        <v/>
      </c>
      <c r="AI5" s="14" t="str">
        <f>IF('Part 1_Supplier Info'!$C$46&lt;&gt;"", 'Part 1_Supplier Info'!$C$46, "")</f>
        <v/>
      </c>
      <c r="AJ5" s="14" t="str">
        <f>IF('Part 1_Supplier Info'!$C$47&lt;&gt;"", 'Part 1_Supplier Info'!$C$47, "")</f>
        <v/>
      </c>
      <c r="AK5" s="14" t="str">
        <f>IF('Part 1_Supplier Info'!$C$48&lt;&gt;"", 'Part 1_Supplier Info'!$C$48, "")</f>
        <v/>
      </c>
    </row>
    <row r="6" spans="1:55" hidden="1"/>
    <row r="7" spans="1:55" hidden="1">
      <c r="A7" s="12" t="s">
        <v>486</v>
      </c>
      <c r="B7" s="12" t="s">
        <v>522</v>
      </c>
      <c r="C7" s="12" t="s">
        <v>523</v>
      </c>
      <c r="D7" s="12" t="s">
        <v>524</v>
      </c>
      <c r="E7" s="13" t="s">
        <v>525</v>
      </c>
      <c r="F7" s="13" t="s">
        <v>526</v>
      </c>
      <c r="G7" s="13" t="s">
        <v>527</v>
      </c>
      <c r="H7" s="13" t="s">
        <v>528</v>
      </c>
      <c r="I7" s="13" t="s">
        <v>529</v>
      </c>
      <c r="J7" s="13" t="s">
        <v>530</v>
      </c>
      <c r="K7" s="13" t="s">
        <v>531</v>
      </c>
      <c r="L7" s="13" t="s">
        <v>532</v>
      </c>
      <c r="M7" s="13" t="s">
        <v>533</v>
      </c>
      <c r="N7" s="13" t="s">
        <v>534</v>
      </c>
      <c r="O7" s="13" t="s">
        <v>535</v>
      </c>
      <c r="P7" s="13" t="s">
        <v>536</v>
      </c>
      <c r="Q7" s="13" t="s">
        <v>537</v>
      </c>
      <c r="R7" s="13" t="s">
        <v>538</v>
      </c>
      <c r="S7" s="13" t="s">
        <v>539</v>
      </c>
      <c r="T7" s="13" t="s">
        <v>540</v>
      </c>
      <c r="U7" s="13" t="s">
        <v>541</v>
      </c>
      <c r="V7" s="13" t="s">
        <v>542</v>
      </c>
      <c r="W7" s="13" t="s">
        <v>543</v>
      </c>
      <c r="X7" s="13" t="s">
        <v>544</v>
      </c>
      <c r="Y7" s="13" t="s">
        <v>545</v>
      </c>
      <c r="Z7" s="13" t="s">
        <v>546</v>
      </c>
      <c r="AA7" s="13" t="s">
        <v>547</v>
      </c>
      <c r="AB7" s="13" t="s">
        <v>548</v>
      </c>
      <c r="AC7" s="13" t="s">
        <v>549</v>
      </c>
      <c r="AD7" s="13" t="s">
        <v>550</v>
      </c>
      <c r="AE7" s="13" t="s">
        <v>551</v>
      </c>
      <c r="AF7" s="13" t="s">
        <v>552</v>
      </c>
      <c r="AG7" s="13" t="s">
        <v>553</v>
      </c>
      <c r="AH7" s="13" t="s">
        <v>554</v>
      </c>
      <c r="AI7" s="13" t="s">
        <v>555</v>
      </c>
      <c r="AJ7" s="4" t="s">
        <v>556</v>
      </c>
      <c r="AK7" s="4" t="s">
        <v>557</v>
      </c>
      <c r="AL7" s="4" t="s">
        <v>558</v>
      </c>
      <c r="AM7" s="4" t="s">
        <v>559</v>
      </c>
      <c r="AN7" s="4" t="s">
        <v>560</v>
      </c>
      <c r="AO7" s="4" t="s">
        <v>561</v>
      </c>
      <c r="AP7" s="4" t="s">
        <v>562</v>
      </c>
      <c r="AQ7" s="4" t="s">
        <v>563</v>
      </c>
      <c r="AR7" s="4" t="s">
        <v>564</v>
      </c>
      <c r="AS7" s="4" t="s">
        <v>565</v>
      </c>
      <c r="AT7" s="4" t="s">
        <v>566</v>
      </c>
      <c r="AU7" s="4" t="s">
        <v>567</v>
      </c>
      <c r="AV7" s="4" t="s">
        <v>568</v>
      </c>
      <c r="AW7" s="4" t="s">
        <v>569</v>
      </c>
      <c r="AX7" s="4" t="s">
        <v>570</v>
      </c>
      <c r="AY7" s="4" t="s">
        <v>571</v>
      </c>
      <c r="AZ7" s="4" t="s">
        <v>572</v>
      </c>
      <c r="BA7" s="4" t="s">
        <v>573</v>
      </c>
      <c r="BB7" s="4" t="s">
        <v>574</v>
      </c>
      <c r="BC7" s="4" t="s">
        <v>575</v>
      </c>
    </row>
    <row r="8" spans="1:55" s="14" customFormat="1" ht="13" hidden="1">
      <c r="A8" s="14" t="str">
        <f>Contents!$C$9</f>
        <v>Incomplete</v>
      </c>
      <c r="B8" s="14" t="str">
        <f>IF('Part 1_Bidding model'!$C$11&lt;&gt;"", 'Part 1_Bidding model'!$C$11, "")</f>
        <v/>
      </c>
      <c r="C8" s="14" t="str">
        <f>IF('Part 1_Bidding model'!$C$13&lt;&gt;"", 'Part 1_Bidding model'!$C$13, "")</f>
        <v/>
      </c>
      <c r="D8" s="14" t="str">
        <f>IF('Part 1_Bidding model'!$C$14&lt;&gt;"", 'Part 1_Bidding model'!$C$14, "")</f>
        <v/>
      </c>
      <c r="E8" s="14" t="str">
        <f>IF('Part 1_Bidding model'!$C$15&lt;&gt;"", 'Part 1_Bidding model'!$C$15, "")</f>
        <v/>
      </c>
      <c r="F8" s="14" t="str">
        <f>IF('Part 1_Bidding model'!$C$17&lt;&gt;"", 'Part 1_Bidding model'!$C$17, "")</f>
        <v/>
      </c>
      <c r="G8" s="14" t="str">
        <f>IF('Part 1_Bidding model'!$D$17&lt;&gt;"", 'Part 1_Bidding model'!$D$17, "")</f>
        <v/>
      </c>
      <c r="H8" s="14" t="str">
        <f>IF('Part 1_Bidding model'!$E$17&lt;&gt;"", 'Part 1_Bidding model'!$E$17, "")</f>
        <v/>
      </c>
      <c r="I8" s="14" t="str">
        <f>IF('Part 1_Bidding model'!$F$17&lt;&gt;"", 'Part 1_Bidding model'!$F$17, "")</f>
        <v/>
      </c>
      <c r="J8" s="14" t="str">
        <f>IF('Part 1_Bidding model'!$G$17&lt;&gt;"", 'Part 1_Bidding model'!$G$17, "")</f>
        <v/>
      </c>
      <c r="K8" s="14" t="str">
        <f>IF('Part 1_Bidding model'!$C$18&lt;&gt;"", 'Part 1_Bidding model'!$C$18, "")</f>
        <v/>
      </c>
      <c r="L8" s="14" t="str">
        <f>IF('Part 1_Bidding model'!$D$18&lt;&gt;"", 'Part 1_Bidding model'!$D$18, "")</f>
        <v/>
      </c>
      <c r="M8" s="14" t="str">
        <f>IF('Part 1_Bidding model'!$E$18&lt;&gt;"", 'Part 1_Bidding model'!$E$18, "")</f>
        <v/>
      </c>
      <c r="N8" s="14" t="str">
        <f>IF('Part 1_Bidding model'!$F$18&lt;&gt;"", 'Part 1_Bidding model'!$F$18, "")</f>
        <v/>
      </c>
      <c r="O8" s="14" t="str">
        <f>IF('Part 1_Bidding model'!$G$18&lt;&gt;"", 'Part 1_Bidding model'!$G$18, "")</f>
        <v/>
      </c>
      <c r="P8" s="14" t="str">
        <f>IF('Part 1_Bidding model'!$C$19&lt;&gt;"", 'Part 1_Bidding model'!$C$19, "")</f>
        <v/>
      </c>
      <c r="Q8" s="14" t="str">
        <f>IF('Part 1_Bidding model'!$D$19&lt;&gt;"", 'Part 1_Bidding model'!$D$19, "")</f>
        <v/>
      </c>
      <c r="R8" s="14" t="str">
        <f>IF('Part 1_Bidding model'!$E$19&lt;&gt;"", 'Part 1_Bidding model'!$E$19, "")</f>
        <v/>
      </c>
      <c r="S8" s="14" t="str">
        <f>IF('Part 1_Bidding model'!$F$19&lt;&gt;"", 'Part 1_Bidding model'!$F$19, "")</f>
        <v/>
      </c>
      <c r="T8" s="14" t="str">
        <f>IF('Part 1_Bidding model'!$G$19&lt;&gt;"", 'Part 1_Bidding model'!$G$19, "")</f>
        <v/>
      </c>
      <c r="U8" s="14" t="str">
        <f>IF('Part 1_Bidding model'!$C$20&lt;&gt;"", 'Part 1_Bidding model'!$C$20, "")</f>
        <v/>
      </c>
      <c r="V8" s="14" t="str">
        <f>IF('Part 1_Bidding model'!$D$20&lt;&gt;"", 'Part 1_Bidding model'!$D$20, "")</f>
        <v/>
      </c>
      <c r="W8" s="14" t="str">
        <f>IF('Part 1_Bidding model'!$E$20&lt;&gt;"", 'Part 1_Bidding model'!$E$20, "")</f>
        <v/>
      </c>
      <c r="X8" s="14" t="str">
        <f>IF('Part 1_Bidding model'!$F$20&lt;&gt;"", 'Part 1_Bidding model'!$F$20, "")</f>
        <v/>
      </c>
      <c r="Y8" s="14" t="str">
        <f>IF('Part 1_Bidding model'!$G$20&lt;&gt;"", 'Part 1_Bidding model'!$G$20, "")</f>
        <v/>
      </c>
      <c r="Z8" s="14" t="str">
        <f>IF('Part 1_Bidding model'!$C$21&lt;&gt;"", 'Part 1_Bidding model'!$C$21, "")</f>
        <v/>
      </c>
      <c r="AA8" s="14" t="str">
        <f>IF('Part 1_Bidding model'!$D$21&lt;&gt;"", 'Part 1_Bidding model'!$D$21, "")</f>
        <v/>
      </c>
      <c r="AB8" s="14" t="str">
        <f>IF('Part 1_Bidding model'!$E$21&lt;&gt;"", 'Part 1_Bidding model'!$E$21, "")</f>
        <v/>
      </c>
      <c r="AC8" s="14" t="str">
        <f>IF('Part 1_Bidding model'!$F$21&lt;&gt;"", 'Part 1_Bidding model'!$F$21, "")</f>
        <v/>
      </c>
      <c r="AD8" s="14" t="str">
        <f>IF('Part 1_Bidding model'!$G$21&lt;&gt;"", 'Part 1_Bidding model'!$G$21, "")</f>
        <v/>
      </c>
      <c r="AE8" s="14" t="str">
        <f>IF('Part 1_Bidding model'!$C$22&lt;&gt;"", 'Part 1_Bidding model'!$C$22, "")</f>
        <v/>
      </c>
      <c r="AF8" s="14" t="str">
        <f>IF('Part 1_Bidding model'!$D$22&lt;&gt;"", 'Part 1_Bidding model'!$D$22, "")</f>
        <v/>
      </c>
      <c r="AG8" s="14" t="str">
        <f>IF('Part 1_Bidding model'!$E$22&lt;&gt;"", 'Part 1_Bidding model'!$E$22, "")</f>
        <v/>
      </c>
      <c r="AH8" s="14" t="str">
        <f>IF('Part 1_Bidding model'!$F$22&lt;&gt;"", 'Part 1_Bidding model'!$F$22, "")</f>
        <v/>
      </c>
      <c r="AI8" s="14" t="str">
        <f>IF('Part 1_Bidding model'!$G$22&lt;&gt;"", 'Part 1_Bidding model'!$G$22, "")</f>
        <v/>
      </c>
      <c r="AJ8" s="14" t="str">
        <f>IF('Part 1_Bidding model'!$C$23&lt;&gt;"", 'Part 1_Bidding model'!$C$23, "")</f>
        <v/>
      </c>
      <c r="AK8" s="14" t="str">
        <f>IF('Part 1_Bidding model'!$D$23&lt;&gt;"", 'Part 1_Bidding model'!$D$23, "")</f>
        <v/>
      </c>
      <c r="AL8" s="14" t="str">
        <f>IF('Part 1_Bidding model'!$E$23&lt;&gt;"", 'Part 1_Bidding model'!$E$23, "")</f>
        <v/>
      </c>
      <c r="AM8" s="14" t="str">
        <f>IF('Part 1_Bidding model'!$F$23&lt;&gt;"", 'Part 1_Bidding model'!$F$23, "")</f>
        <v/>
      </c>
      <c r="AN8" s="14" t="str">
        <f>IF('Part 1_Bidding model'!$G$23&lt;&gt;"", 'Part 1_Bidding model'!$G$23, "")</f>
        <v/>
      </c>
      <c r="AO8" s="14" t="str">
        <f>IF('Part 1_Bidding model'!$C$24&lt;&gt;"", 'Part 1_Bidding model'!$C$24, "")</f>
        <v/>
      </c>
      <c r="AP8" s="14" t="str">
        <f>IF('Part 1_Bidding model'!$D$24&lt;&gt;"", 'Part 1_Bidding model'!$D$24, "")</f>
        <v/>
      </c>
      <c r="AQ8" s="14" t="str">
        <f>IF('Part 1_Bidding model'!$E$24&lt;&gt;"", 'Part 1_Bidding model'!$E$24, "")</f>
        <v/>
      </c>
      <c r="AR8" s="14" t="str">
        <f>IF('Part 1_Bidding model'!$F$24&lt;&gt;"", 'Part 1_Bidding model'!$F$24, "")</f>
        <v/>
      </c>
      <c r="AS8" s="14" t="str">
        <f>IF('Part 1_Bidding model'!$G$24&lt;&gt;"", 'Part 1_Bidding model'!$G$24, "")</f>
        <v/>
      </c>
      <c r="AT8" s="14" t="str">
        <f>IF('Part 1_Bidding model'!$C$25&lt;&gt;"", 'Part 1_Bidding model'!$C$25, "")</f>
        <v/>
      </c>
      <c r="AU8" s="14" t="str">
        <f>IF('Part 1_Bidding model'!$D$25&lt;&gt;"", 'Part 1_Bidding model'!$D$25, "")</f>
        <v/>
      </c>
      <c r="AV8" s="14" t="str">
        <f>IF('Part 1_Bidding model'!$E$25&lt;&gt;"", 'Part 1_Bidding model'!$E$25, "")</f>
        <v/>
      </c>
      <c r="AW8" s="14" t="str">
        <f>IF('Part 1_Bidding model'!$F$25&lt;&gt;"", 'Part 1_Bidding model'!$F$25, "")</f>
        <v/>
      </c>
      <c r="AX8" s="14" t="str">
        <f>IF('Part 1_Bidding model'!$G$25&lt;&gt;"", 'Part 1_Bidding model'!$G$25, "")</f>
        <v/>
      </c>
      <c r="AY8" s="14" t="str">
        <f>IF('Part 1_Bidding model'!$C$26&lt;&gt;"", 'Part 1_Bidding model'!$C$26, "")</f>
        <v/>
      </c>
      <c r="AZ8" s="14" t="str">
        <f>IF('Part 1_Bidding model'!$D$26&lt;&gt;"", 'Part 1_Bidding model'!$D$26, "")</f>
        <v/>
      </c>
      <c r="BA8" s="14" t="str">
        <f>IF('Part 1_Bidding model'!$E$26&lt;&gt;"", 'Part 1_Bidding model'!$E$26, "")</f>
        <v/>
      </c>
      <c r="BB8" s="14" t="str">
        <f>IF('Part 1_Bidding model'!$F$26&lt;&gt;"", 'Part 1_Bidding model'!$F$26, "")</f>
        <v/>
      </c>
      <c r="BC8" s="14" t="str">
        <f>IF('Part 1_Bidding model'!$G$26&lt;&gt;"", 'Part 1_Bidding model'!$G$26, "")</f>
        <v/>
      </c>
    </row>
    <row r="9" spans="1:55" hidden="1"/>
    <row r="10" spans="1:55" hidden="1">
      <c r="A10" s="12" t="s">
        <v>576</v>
      </c>
      <c r="B10" s="12" t="s">
        <v>577</v>
      </c>
      <c r="C10" s="13" t="s">
        <v>578</v>
      </c>
      <c r="D10" s="13" t="s">
        <v>579</v>
      </c>
      <c r="E10" s="13" t="s">
        <v>580</v>
      </c>
      <c r="F10" s="13" t="s">
        <v>581</v>
      </c>
      <c r="G10" s="13" t="s">
        <v>672</v>
      </c>
      <c r="H10" s="15" t="s">
        <v>673</v>
      </c>
      <c r="I10" s="15" t="s">
        <v>674</v>
      </c>
      <c r="J10" s="15" t="s">
        <v>675</v>
      </c>
      <c r="K10" s="15" t="s">
        <v>676</v>
      </c>
    </row>
    <row r="11" spans="1:55" s="16" customFormat="1" hidden="1">
      <c r="A11" s="16" t="str">
        <f>Contents!$C$10</f>
        <v>Incomplete</v>
      </c>
      <c r="B11" s="16" t="str">
        <f>IF('Part 1_Details &amp; Declaration'!$C$19&lt;&gt;"", 'Part 1_Details &amp; Declaration'!$C$19, "")</f>
        <v/>
      </c>
      <c r="C11" s="16" t="str">
        <f>IF('Part 1_Details &amp; Declaration'!$C$20&lt;&gt;"", 'Part 1_Details &amp; Declaration'!$C$20, "")</f>
        <v/>
      </c>
      <c r="D11" s="16" t="str">
        <f>IF('Part 1_Details &amp; Declaration'!$C$21&lt;&gt;"", 'Part 1_Details &amp; Declaration'!$C$21, "")</f>
        <v/>
      </c>
      <c r="E11" s="16" t="str">
        <f>IF('Part 1_Details &amp; Declaration'!$C$22&lt;&gt;"", 'Part 1_Details &amp; Declaration'!$C$22, "")</f>
        <v/>
      </c>
      <c r="F11" s="16" t="str">
        <f>IF('Part 1_Details &amp; Declaration'!$C$23&lt;&gt;"", 'Part 1_Details &amp; Declaration'!$C$23, "")</f>
        <v/>
      </c>
      <c r="G11" s="16" t="str">
        <f>IF('Part 1_Details &amp; Declaration'!$C$24&lt;&gt;"", 'Part 1_Details &amp; Declaration'!$C$24, "")</f>
        <v/>
      </c>
      <c r="H11" s="16" t="str">
        <f>IF('Part 1_Details &amp; Declaration'!$C$25&lt;&gt;"", 'Part 1_Details &amp; Declaration'!$C$25, "")</f>
        <v/>
      </c>
      <c r="I11" s="16" t="str">
        <f>IF('Part 1_Details &amp; Declaration'!$C$26&lt;&gt;"", 'Part 1_Details &amp; Declaration'!$C$26, "")</f>
        <v/>
      </c>
      <c r="J11" s="16" t="str">
        <f>IF('Part 1_Details &amp; Declaration'!$C$27&lt;&gt;"", 'Part 1_Details &amp; Declaration'!$C$27, "")</f>
        <v/>
      </c>
      <c r="K11" s="16" t="str">
        <f>IF('Part 1_Details &amp; Declaration'!$C$28&lt;&gt;"", 'Part 1_Details &amp; Declaration'!$C$28, "")</f>
        <v/>
      </c>
    </row>
    <row r="12" spans="1:55" hidden="1"/>
    <row r="13" spans="1:55" hidden="1">
      <c r="A13" s="12" t="s">
        <v>582</v>
      </c>
      <c r="B13" s="12" t="s">
        <v>583</v>
      </c>
      <c r="C13" s="12" t="s">
        <v>584</v>
      </c>
      <c r="D13" s="12" t="s">
        <v>585</v>
      </c>
      <c r="E13" s="12" t="s">
        <v>586</v>
      </c>
      <c r="F13" s="12" t="s">
        <v>587</v>
      </c>
      <c r="G13" s="12" t="s">
        <v>588</v>
      </c>
      <c r="H13" s="12" t="s">
        <v>589</v>
      </c>
      <c r="I13" s="12" t="s">
        <v>590</v>
      </c>
      <c r="J13" s="12" t="s">
        <v>591</v>
      </c>
      <c r="K13" s="12" t="s">
        <v>592</v>
      </c>
    </row>
    <row r="14" spans="1:55" s="16" customFormat="1" hidden="1">
      <c r="A14" s="16" t="str">
        <f>Contents!$C$11</f>
        <v>Incomplete</v>
      </c>
      <c r="B14" s="16" t="str">
        <f>IF('Part 2_Section 2'!$C$12&lt;&gt;"", 'Part 2_Section 2'!$C$12, "")</f>
        <v/>
      </c>
      <c r="C14" s="16" t="str">
        <f>IF('Part 2_Section 2'!$C$13&lt;&gt;"", 'Part 2_Section 2'!$C$13, "")</f>
        <v/>
      </c>
      <c r="D14" s="16" t="str">
        <f>IF('Part 2_Section 2'!$C$14&lt;&gt;"", 'Part 2_Section 2'!$C$14, "")</f>
        <v/>
      </c>
      <c r="E14" s="16" t="str">
        <f>IF('Part 2_Section 2'!$C$15&lt;&gt;"", 'Part 2_Section 2'!$C$15, "")</f>
        <v/>
      </c>
      <c r="F14" s="16" t="str">
        <f>IF('Part 2_Section 2'!$C$16&lt;&gt;"", 'Part 2_Section 2'!$C$16, "")</f>
        <v/>
      </c>
      <c r="G14" s="16" t="str">
        <f>IF('Part 2_Section 2'!$C$17&lt;&gt;"", 'Part 2_Section 2'!$C$17, "")</f>
        <v/>
      </c>
      <c r="H14" s="16" t="str">
        <f>IF('Part 2_Section 2'!$C$18&lt;&gt;"", 'Part 2_Section 2'!$C$18, "")</f>
        <v/>
      </c>
      <c r="I14" s="16" t="str">
        <f>IF('Part 2_Section 2'!$C$19&lt;&gt;"", 'Part 2_Section 2'!$C$19, "")</f>
        <v/>
      </c>
      <c r="J14" s="16" t="str">
        <f>IF('Part 2_Section 2'!$C$20&lt;&gt;"", 'Part 2_Section 2'!$C$20, "")</f>
        <v/>
      </c>
      <c r="K14" s="16" t="str">
        <f>IF('Part 2_Section 2'!$C$21&lt;&gt;"", 'Part 2_Section 2'!$C$21, "")</f>
        <v/>
      </c>
    </row>
    <row r="15" spans="1:55" hidden="1"/>
    <row r="16" spans="1:55" hidden="1">
      <c r="A16" s="12" t="s">
        <v>594</v>
      </c>
      <c r="B16" s="12" t="s">
        <v>595</v>
      </c>
      <c r="C16" s="12" t="s">
        <v>596</v>
      </c>
      <c r="D16" s="12" t="s">
        <v>597</v>
      </c>
      <c r="E16" s="12" t="s">
        <v>598</v>
      </c>
      <c r="F16" s="12" t="s">
        <v>599</v>
      </c>
      <c r="G16" s="12" t="s">
        <v>600</v>
      </c>
      <c r="H16" s="12" t="s">
        <v>601</v>
      </c>
      <c r="I16" s="12" t="s">
        <v>602</v>
      </c>
      <c r="J16" s="12" t="s">
        <v>603</v>
      </c>
      <c r="K16" s="12" t="s">
        <v>604</v>
      </c>
      <c r="L16" s="17" t="s">
        <v>605</v>
      </c>
      <c r="M16" s="17" t="s">
        <v>607</v>
      </c>
      <c r="N16" s="17" t="s">
        <v>606</v>
      </c>
      <c r="O16" s="17" t="s">
        <v>608</v>
      </c>
    </row>
    <row r="17" spans="1:20" s="16" customFormat="1" hidden="1">
      <c r="A17" s="16" t="str">
        <f>Contents!$C$12</f>
        <v>Incomplete</v>
      </c>
      <c r="B17" s="16" t="str">
        <f>IF('Part 2_Section 3'!$C$10&lt;&gt;"", 'Part 2_Section 3'!$C$10, "")</f>
        <v/>
      </c>
      <c r="C17" s="16" t="str">
        <f>IF('Part 2_Section 3'!$C$11&lt;&gt;"", 'Part 2_Section 3'!$C$11, "")</f>
        <v/>
      </c>
      <c r="D17" s="16" t="str">
        <f>IF('Part 2_Section 3'!$C$12&lt;&gt;"", 'Part 2_Section 3'!$C$12, "")</f>
        <v/>
      </c>
      <c r="E17" s="16" t="str">
        <f>IF('Part 2_Section 3'!$C$13&lt;&gt;"", 'Part 2_Section 3'!$C$13, "")</f>
        <v/>
      </c>
      <c r="F17" s="16" t="str">
        <f>IF('Part 2_Section 3'!$C$14&lt;&gt;"", 'Part 2_Section 3'!$C$14, "")</f>
        <v/>
      </c>
      <c r="G17" s="16" t="str">
        <f>IF('Part 2_Section 3'!$C$15&lt;&gt;"", 'Part 2_Section 3'!$C$15, "")</f>
        <v/>
      </c>
      <c r="H17" s="16" t="str">
        <f>IF('Part 2_Section 3'!$C$16&lt;&gt;"", 'Part 2_Section 3'!$C$16, "")</f>
        <v/>
      </c>
      <c r="I17" s="16" t="str">
        <f>IF('Part 2_Section 3'!$C$17&lt;&gt;"", 'Part 2_Section 3'!$C$17, "")</f>
        <v/>
      </c>
      <c r="J17" s="16" t="str">
        <f>IF('Part 2_Section 3'!$C$18&lt;&gt;"", 'Part 2_Section 3'!$C$18, "")</f>
        <v/>
      </c>
      <c r="K17" s="16" t="str">
        <f>IF('Part 2_Section 3'!$C$20&lt;&gt;"", 'Part 2_Section 3'!$C$20, "")</f>
        <v/>
      </c>
      <c r="L17" s="16" t="str">
        <f>IF('Part 2_Section 3'!$C$21&lt;&gt;"", 'Part 2_Section 3'!$C$21, "")</f>
        <v/>
      </c>
      <c r="M17" s="16" t="str">
        <f>IF('Part 2_Section 3'!$C$22&lt;&gt;"", 'Part 2_Section 3'!$C$22, "")</f>
        <v/>
      </c>
      <c r="N17" s="16" t="str">
        <f>IF('Part 2_Section 3'!$C$23&lt;&gt;"", 'Part 2_Section 3'!$C$23, "")</f>
        <v/>
      </c>
      <c r="O17" s="16" t="str">
        <f>IF('Part 2_Section 3'!$C$24&lt;&gt;"", 'Part 2_Section 3'!$C$24, "")</f>
        <v/>
      </c>
    </row>
    <row r="18" spans="1:20" hidden="1"/>
    <row r="19" spans="1:20" hidden="1">
      <c r="A19" s="12" t="s">
        <v>619</v>
      </c>
      <c r="B19" s="12" t="s">
        <v>609</v>
      </c>
      <c r="C19" s="12" t="s">
        <v>610</v>
      </c>
      <c r="D19" s="12" t="s">
        <v>611</v>
      </c>
      <c r="E19" s="12" t="s">
        <v>612</v>
      </c>
      <c r="F19" s="12" t="s">
        <v>613</v>
      </c>
      <c r="G19" s="12" t="s">
        <v>616</v>
      </c>
      <c r="H19" s="12" t="s">
        <v>614</v>
      </c>
      <c r="I19" s="12" t="s">
        <v>615</v>
      </c>
      <c r="J19" s="12" t="s">
        <v>617</v>
      </c>
      <c r="K19" s="12" t="s">
        <v>618</v>
      </c>
    </row>
    <row r="20" spans="1:20" s="16" customFormat="1" hidden="1">
      <c r="A20" s="16" t="str">
        <f>Contents!$C$13</f>
        <v>Incomplete</v>
      </c>
      <c r="B20" s="16" t="str">
        <f>IF('Part 3_Section 4 &amp; 5'!$C$10&lt;&gt;"", 'Part 3_Section 4 &amp; 5'!$C$10, "")</f>
        <v/>
      </c>
      <c r="C20" s="16" t="str">
        <f>IF('Part 3_Section 4 &amp; 5'!$C$11&lt;&gt;"", 'Part 3_Section 4 &amp; 5'!$C$11, "")</f>
        <v/>
      </c>
      <c r="D20" s="16" t="str">
        <f>IF('Part 3_Section 4 &amp; 5'!$C$12&lt;&gt;"", 'Part 3_Section 4 &amp; 5'!$C$12, "")</f>
        <v/>
      </c>
      <c r="E20" s="16" t="str">
        <f>IF('Part 3_Section 4 &amp; 5'!$C$13&lt;&gt;"", 'Part 3_Section 4 &amp; 5'!$C$13, "")</f>
        <v/>
      </c>
      <c r="F20" s="16" t="str">
        <f>IF('Part 3_Section 4 &amp; 5'!$C$14&lt;&gt;"", 'Part 3_Section 4 &amp; 5'!$C$14, "")</f>
        <v/>
      </c>
      <c r="G20" s="16" t="str">
        <f>IF('Part 3_Section 4 &amp; 5'!$C$19&lt;&gt;"", 'Part 3_Section 4 &amp; 5'!$C$19, "")</f>
        <v/>
      </c>
      <c r="H20" s="16" t="str">
        <f>IF('Part 3_Section 4 &amp; 5'!$C$20&lt;&gt;"", 'Part 3_Section 4 &amp; 5'!$C$20, "")</f>
        <v/>
      </c>
      <c r="I20" s="16" t="str">
        <f>IF('Part 3_Section 4 &amp; 5'!$C$21&lt;&gt;"", 'Part 3_Section 4 &amp; 5'!$C$21, "")</f>
        <v/>
      </c>
      <c r="J20" s="16" t="str">
        <f>IF('Part 3_Section 4 &amp; 5'!$C$22&lt;&gt;"", 'Part 3_Section 4 &amp; 5'!$C$22, "")</f>
        <v/>
      </c>
      <c r="K20" s="16" t="str">
        <f>IF('Part 3_Section 4 &amp; 5'!$C$23&lt;&gt;"", 'Part 3_Section 4 &amp; 5'!$C$23, "")</f>
        <v/>
      </c>
    </row>
    <row r="21" spans="1:20" hidden="1"/>
    <row r="22" spans="1:20" hidden="1">
      <c r="A22" s="225" t="s">
        <v>851</v>
      </c>
      <c r="B22" s="225" t="s">
        <v>1102</v>
      </c>
      <c r="C22" s="224" t="s">
        <v>1103</v>
      </c>
      <c r="D22" s="224" t="s">
        <v>852</v>
      </c>
      <c r="E22" s="227" t="s">
        <v>855</v>
      </c>
      <c r="F22" s="227" t="s">
        <v>1104</v>
      </c>
      <c r="G22" s="224" t="s">
        <v>1108</v>
      </c>
      <c r="H22" s="224" t="s">
        <v>856</v>
      </c>
      <c r="I22" s="227" t="s">
        <v>857</v>
      </c>
      <c r="J22" s="227" t="s">
        <v>1105</v>
      </c>
      <c r="K22" s="224" t="s">
        <v>1109</v>
      </c>
      <c r="L22" s="224" t="s">
        <v>858</v>
      </c>
      <c r="M22" s="227" t="s">
        <v>859</v>
      </c>
      <c r="N22" s="227" t="s">
        <v>1106</v>
      </c>
      <c r="O22" s="224" t="s">
        <v>1110</v>
      </c>
      <c r="P22" s="224" t="s">
        <v>860</v>
      </c>
      <c r="Q22" s="227" t="s">
        <v>854</v>
      </c>
      <c r="R22" s="227" t="s">
        <v>1107</v>
      </c>
      <c r="S22" s="224" t="s">
        <v>1111</v>
      </c>
      <c r="T22" s="224" t="s">
        <v>853</v>
      </c>
    </row>
    <row r="23" spans="1:20" s="16" customFormat="1" hidden="1">
      <c r="A23" s="16" t="str">
        <f>Contents!$C$14</f>
        <v>Incomplete</v>
      </c>
      <c r="B23" s="16" t="str">
        <f>IF('Part 3_Section 6'!$C$21&lt;&gt;"", 'Part 3_Section 6'!$C$21, "")</f>
        <v/>
      </c>
      <c r="C23" s="16" t="str">
        <f>IF('Part 3_Section 6'!$C$49&lt;&gt;"", 'Part 3_Section 6'!$C$49, "")</f>
        <v/>
      </c>
      <c r="D23" s="16" t="str">
        <f>IF(TBL_011_Response_SQ_3_6[3_6_Lot_1_Q6.1]="Enclosed", "Q6.1", "Q6.3")</f>
        <v>Q6.3</v>
      </c>
      <c r="E23" s="226" t="e">
        <f>IF(AND(Lotted?="Yes", No_Lots?&gt;=2), Contents!#REF!, "N/A")</f>
        <v>#REF!</v>
      </c>
      <c r="F23" s="226" t="e">
        <f>IF(AND(Lotted?="Yes", No_Lots?&gt;=2), IF(#REF!&lt;&gt;"",#REF!, ""), "N/A")</f>
        <v>#REF!</v>
      </c>
      <c r="G23" s="226" t="e">
        <f>IF(AND(Lotted?="Yes", No_Lots?&gt;=2), IF(#REF!&lt;&gt;"",#REF!, ""), "N/A")</f>
        <v>#REF!</v>
      </c>
      <c r="H23" s="226" t="str">
        <f>IF(AND(Lotted?="Yes", No_Lots?&gt;=2), IF(SQ_Same_Qs?="Yes", TBL_011_Response_SQ_3_6[Lot_1_Q1or3], IF(TBL_011_Response_SQ_3_6[3_6_Lot_2_Q6.1]="Enclosed", "Q6.1", "Q6.3")), "N/A")</f>
        <v>Q6.3</v>
      </c>
      <c r="I23" s="226" t="e">
        <f>IF(AND(Lotted?="Yes", No_Lots?&gt;=3), Contents!#REF!, "N/A")</f>
        <v>#REF!</v>
      </c>
      <c r="J23" s="226" t="e">
        <f>IF(AND(Lotted?="Yes", No_Lots?&gt;=3), IF(#REF!&lt;&gt;"",#REF!, ""), "N/A")</f>
        <v>#REF!</v>
      </c>
      <c r="K23" s="226" t="e">
        <f>IF(AND(Lotted?="Yes", No_Lots?&gt;=3), IF(#REF!&lt;&gt;"",#REF!, ""), "N/A")</f>
        <v>#REF!</v>
      </c>
      <c r="L23" s="226" t="str">
        <f>IF(AND(Lotted?="Yes", No_Lots?&gt;=3), IF(SQ_Same_Qs?="Yes", TBL_011_Response_SQ_3_6[Lot_1_Q1or3], IF(TBL_011_Response_SQ_3_6[3_6_Lot_3_Q6.1]="Enclosed", "Q6.1", "Q6.3")), "N/A")</f>
        <v>Q6.3</v>
      </c>
      <c r="M23" s="226" t="e">
        <f>IF(AND(Lotted?="Yes", No_Lots?&gt;=4), Contents!#REF!, "N/A")</f>
        <v>#REF!</v>
      </c>
      <c r="N23" s="226" t="e">
        <f>IF(AND(Lotted?="Yes", No_Lots?&gt;=4), IF(#REF!&lt;&gt;"",#REF!, ""), "N/A")</f>
        <v>#REF!</v>
      </c>
      <c r="O23" s="226" t="e">
        <f>IF(AND(Lotted?="Yes", No_Lots?&gt;=4), IF(#REF!&lt;&gt;"",#REF!, ""), "N/A")</f>
        <v>#REF!</v>
      </c>
      <c r="P23" s="226" t="str">
        <f>IF(AND(Lotted?="Yes", No_Lots?&gt;=4), IF(SQ_Same_Qs?="Yes", TBL_011_Response_SQ_3_6[Lot_1_Q1or3], IF(TBL_011_Response_SQ_3_6[3_6_Lot_4_Q6.1]="Enclosed", "Q6.1", "Q6.3")), "N/A")</f>
        <v>Q6.3</v>
      </c>
      <c r="Q23" s="226" t="e">
        <f>IF(AND(Lotted?="Yes", No_Lots?&gt;=5), Contents!#REF!, "N/A")</f>
        <v>#REF!</v>
      </c>
      <c r="R23" s="226" t="e">
        <f>IF(AND(Lotted?="Yes", No_Lots?&gt;=5), IF(#REF!&lt;&gt;"",#REF!, ""), "N/A")</f>
        <v>#REF!</v>
      </c>
      <c r="S23" s="226" t="e">
        <f>IF(AND(Lotted?="Yes", No_Lots?&gt;=5), IF(#REF!&lt;&gt;"",#REF!, ""), "N/A")</f>
        <v>#REF!</v>
      </c>
      <c r="T23" s="226" t="str">
        <f>IF(AND(Lotted?="Yes", No_Lots?&gt;=5), IF(SQ_Same_Qs?="Yes", TBL_011_Response_SQ_3_6[Lot_1_Q1or3], IF(TBL_011_Response_SQ_3_6[3_6_Lot_5_Q6.1]="Enclosed", "Q6.1", "Q6.3")), "N/A")</f>
        <v>Q6.3</v>
      </c>
    </row>
    <row r="24" spans="1:20" hidden="1"/>
    <row r="25" spans="1:20" hidden="1">
      <c r="A25" s="12" t="s">
        <v>620</v>
      </c>
      <c r="B25" s="12" t="s">
        <v>623</v>
      </c>
      <c r="C25" s="17" t="s">
        <v>622</v>
      </c>
      <c r="D25" s="17" t="s">
        <v>621</v>
      </c>
    </row>
    <row r="26" spans="1:20" s="16" customFormat="1" hidden="1">
      <c r="A26" s="16" t="str">
        <f>Contents!$C$15</f>
        <v>Incomplete</v>
      </c>
      <c r="B26" s="16" t="str">
        <f>IF('Part 3_Section 7'!$C$9&lt;&gt;"", 'Part 3_Section 7'!$C$9, "")</f>
        <v/>
      </c>
      <c r="C26" s="16" t="str">
        <f>IF('Part 3_Section 7'!$C$10&lt;&gt;"", 'Part 3_Section 7'!$C$10, "")</f>
        <v/>
      </c>
      <c r="D26" s="16" t="str">
        <f>IF('Part 3_Section 7'!$C$11&lt;&gt;"", 'Part 3_Section 7'!$C$11, "")</f>
        <v/>
      </c>
    </row>
    <row r="27" spans="1:20" hidden="1"/>
    <row r="28" spans="1:20" hidden="1">
      <c r="A28" s="12" t="s">
        <v>624</v>
      </c>
      <c r="B28" s="12" t="s">
        <v>625</v>
      </c>
      <c r="C28" s="17" t="s">
        <v>626</v>
      </c>
      <c r="D28" s="17" t="s">
        <v>627</v>
      </c>
      <c r="E28" s="4" t="s">
        <v>628</v>
      </c>
      <c r="F28" s="4" t="s">
        <v>629</v>
      </c>
      <c r="G28" s="4" t="s">
        <v>630</v>
      </c>
      <c r="H28" s="4" t="s">
        <v>631</v>
      </c>
      <c r="I28" s="4" t="s">
        <v>632</v>
      </c>
      <c r="J28" s="4" t="s">
        <v>633</v>
      </c>
    </row>
    <row r="29" spans="1:20" s="16" customFormat="1" hidden="1">
      <c r="A29" s="16" t="str">
        <f>Contents!$C$16</f>
        <v>Incomplete</v>
      </c>
      <c r="B29" s="16" t="str">
        <f>IF('Part 3_Section 8'!$C$9&lt;&gt;"", 'Part 3_Section 8'!$C$9, "")</f>
        <v/>
      </c>
      <c r="C29" s="16" t="str">
        <f>IF('Part 3_Section 8'!$C$21&lt;&gt;"", 'Part 3_Section 8'!$C$21, "")</f>
        <v/>
      </c>
      <c r="D29" s="16" t="str">
        <f>IF('Part 3_Section 8'!$C$22&lt;&gt;"", 'Part 3_Section 8'!$C$22, "")</f>
        <v/>
      </c>
      <c r="E29" s="16" t="str">
        <f>IF('Part 3_Section 8'!$C$23&lt;&gt;"", 'Part 3_Section 8'!$C$23, "")</f>
        <v/>
      </c>
      <c r="F29" s="16" t="str">
        <f>IF('Part 3_Section 8'!$C$26&lt;&gt;"", 'Part 3_Section 8'!$C$26, "")</f>
        <v/>
      </c>
      <c r="G29" s="16" t="str">
        <f>IF('Part 3_Section 8'!$C$27&lt;&gt;"", 'Part 3_Section 8'!$C$27, "")</f>
        <v/>
      </c>
      <c r="H29" s="16" t="str">
        <f>IF('Part 3_Section 8'!$C$28&lt;&gt;"", 'Part 3_Section 8'!$C$28, "")</f>
        <v/>
      </c>
      <c r="I29" s="16" t="str">
        <f>IF('Part 3_Section 8'!$C$29&lt;&gt;"", 'Part 3_Section 8'!$C$29, "")</f>
        <v/>
      </c>
      <c r="J29" s="16" t="str">
        <f>IF('Part 3_Section 8'!$C$30&lt;&gt;"", 'Part 3_Section 8'!$C$30, "")</f>
        <v/>
      </c>
    </row>
  </sheetData>
  <sheetProtection algorithmName="SHA-512" hashValue="lNsrx+AkONjtC7QPW2y53fVjXmNc0njhmiBE9wBPgxzZtwrLyBGifU05qhMgsqS51U50fPDt1YByTqPE4eOItw==" saltValue="ZwxuzDUS6DRBLq3lxCNy/w==" spinCount="100000" sheet="1" objects="1" scenarios="1"/>
  <phoneticPr fontId="107" type="noConversion"/>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26</vt:i4>
      </vt:variant>
      <vt:variant>
        <vt:lpstr>Named Ranges</vt:lpstr>
      </vt:variant>
      <vt:variant>
        <vt:i4>90</vt:i4>
      </vt:variant>
    </vt:vector>
  </HeadingPairs>
  <TitlesOfParts>
    <vt:vector size="116" baseType="lpstr">
      <vt:lpstr>Cover page</vt:lpstr>
      <vt:lpstr>Contents</vt:lpstr>
      <vt:lpstr>QA</vt:lpstr>
      <vt:lpstr>Project Info</vt:lpstr>
      <vt:lpstr>Dates</vt:lpstr>
      <vt:lpstr>1_Doc_Merge</vt:lpstr>
      <vt:lpstr>Lot_Lookup</vt:lpstr>
      <vt:lpstr>Lookups</vt:lpstr>
      <vt:lpstr>Questions</vt:lpstr>
      <vt:lpstr>Doc_Tables 1</vt:lpstr>
      <vt:lpstr>Doc_Tables 2</vt:lpstr>
      <vt:lpstr>Doc_Tables 3</vt:lpstr>
      <vt:lpstr>Introduction</vt:lpstr>
      <vt:lpstr>Notes for completion</vt:lpstr>
      <vt:lpstr>Lots</vt:lpstr>
      <vt:lpstr>Part 1_Supplier Info</vt:lpstr>
      <vt:lpstr>Part 1_Bidding model</vt:lpstr>
      <vt:lpstr>Part 1_Details &amp; Declaration</vt:lpstr>
      <vt:lpstr>Part 2_Section 2</vt:lpstr>
      <vt:lpstr>Part 2_Section 3</vt:lpstr>
      <vt:lpstr>Part 3_Section 4 &amp; 5</vt:lpstr>
      <vt:lpstr>Part 3_Section 6</vt:lpstr>
      <vt:lpstr>Part 3_Section 7</vt:lpstr>
      <vt:lpstr>Part 3_Section 8</vt:lpstr>
      <vt:lpstr>Check List</vt:lpstr>
      <vt:lpstr>Response</vt:lpstr>
      <vt:lpstr>Accounts_needed?</vt:lpstr>
      <vt:lpstr>Contract_List</vt:lpstr>
      <vt:lpstr>Contract_type</vt:lpstr>
      <vt:lpstr>Doc_Lot</vt:lpstr>
      <vt:lpstr>ESP</vt:lpstr>
      <vt:lpstr>FAC</vt:lpstr>
      <vt:lpstr>Fin_Check</vt:lpstr>
      <vt:lpstr>Footnote_1</vt:lpstr>
      <vt:lpstr>Footnote_2</vt:lpstr>
      <vt:lpstr>Footnote_3</vt:lpstr>
      <vt:lpstr>Footnote_4</vt:lpstr>
      <vt:lpstr>Int_or_SV</vt:lpstr>
      <vt:lpstr>IntSV_Points_Lot_1</vt:lpstr>
      <vt:lpstr>IntSV_Qs_Lot_1</vt:lpstr>
      <vt:lpstr>IntSV_Same_Qs?</vt:lpstr>
      <vt:lpstr>IntSV_Weighted?</vt:lpstr>
      <vt:lpstr>IntSV_Weighting</vt:lpstr>
      <vt:lpstr>JCT</vt:lpstr>
      <vt:lpstr>Job_No</vt:lpstr>
      <vt:lpstr>Leaseholders</vt:lpstr>
      <vt:lpstr>Lot_1</vt:lpstr>
      <vt:lpstr>Lot_2</vt:lpstr>
      <vt:lpstr>Lot_3</vt:lpstr>
      <vt:lpstr>Lot_4</vt:lpstr>
      <vt:lpstr>Lot_5</vt:lpstr>
      <vt:lpstr>Lot_6</vt:lpstr>
      <vt:lpstr>Lotted?</vt:lpstr>
      <vt:lpstr>marks</vt:lpstr>
      <vt:lpstr>Names</vt:lpstr>
      <vt:lpstr>NEC3_Contract</vt:lpstr>
      <vt:lpstr>NHF</vt:lpstr>
      <vt:lpstr>No_Lots?</vt:lpstr>
      <vt:lpstr>Offices</vt:lpstr>
      <vt:lpstr>Part_4_8.2</vt:lpstr>
      <vt:lpstr>Part_4_8.4</vt:lpstr>
      <vt:lpstr>Partnering</vt:lpstr>
      <vt:lpstr>Portal_Name</vt:lpstr>
      <vt:lpstr>PPC</vt:lpstr>
      <vt:lpstr>Price_split</vt:lpstr>
      <vt:lpstr>Lots!Print_Area</vt:lpstr>
      <vt:lpstr>'Part 1_Bidding model'!Print_Area</vt:lpstr>
      <vt:lpstr>'Part 1_Details &amp; Declaration'!Print_Area</vt:lpstr>
      <vt:lpstr>'Part 1_Supplier Info'!Print_Area</vt:lpstr>
      <vt:lpstr>'Part 2_Section 2'!Print_Area</vt:lpstr>
      <vt:lpstr>'Part 2_Section 3'!Print_Area</vt:lpstr>
      <vt:lpstr>'Part 3_Section 4 &amp; 5'!Print_Area</vt:lpstr>
      <vt:lpstr>'Part 3_Section 6'!Print_Area</vt:lpstr>
      <vt:lpstr>'Part 3_Section 7'!Print_Area</vt:lpstr>
      <vt:lpstr>'Part 3_Section 8'!Print_Area</vt:lpstr>
      <vt:lpstr>'Project Info'!Print_Area</vt:lpstr>
      <vt:lpstr>Questions!Print_Area</vt:lpstr>
      <vt:lpstr>'Check List'!Print_Titles</vt:lpstr>
      <vt:lpstr>Lots!Print_Titles</vt:lpstr>
      <vt:lpstr>'Part 1_Bidding model'!Print_Titles</vt:lpstr>
      <vt:lpstr>'Part 1_Details &amp; Declaration'!Print_Titles</vt:lpstr>
      <vt:lpstr>'Part 1_Supplier Info'!Print_Titles</vt:lpstr>
      <vt:lpstr>'Part 2_Section 2'!Print_Titles</vt:lpstr>
      <vt:lpstr>'Part 2_Section 3'!Print_Titles</vt:lpstr>
      <vt:lpstr>'Part 3_Section 4 &amp; 5'!Print_Titles</vt:lpstr>
      <vt:lpstr>'Part 3_Section 6'!Print_Titles</vt:lpstr>
      <vt:lpstr>'Part 3_Section 7'!Print_Titles</vt:lpstr>
      <vt:lpstr>'Part 3_Section 8'!Print_Titles</vt:lpstr>
      <vt:lpstr>Procedure</vt:lpstr>
      <vt:lpstr>Property_Type</vt:lpstr>
      <vt:lpstr>Return_Date</vt:lpstr>
      <vt:lpstr>Return_Time</vt:lpstr>
      <vt:lpstr>RIBA</vt:lpstr>
      <vt:lpstr>services</vt:lpstr>
      <vt:lpstr>SQ_List_1</vt:lpstr>
      <vt:lpstr>SQ_List_2</vt:lpstr>
      <vt:lpstr>SQ_List_3</vt:lpstr>
      <vt:lpstr>SQ_Min_Lot_1</vt:lpstr>
      <vt:lpstr>SQ_Points_Lot_1</vt:lpstr>
      <vt:lpstr>SQ_Qs_Lot_1</vt:lpstr>
      <vt:lpstr>SQ_Same_Qs?</vt:lpstr>
      <vt:lpstr>SQ_Same_Response?</vt:lpstr>
      <vt:lpstr>SQ_Weighted?</vt:lpstr>
      <vt:lpstr>supplies</vt:lpstr>
      <vt:lpstr>TAC</vt:lpstr>
      <vt:lpstr>Tech_Points_Lot_1</vt:lpstr>
      <vt:lpstr>Tech_Qs_Lot_1</vt:lpstr>
      <vt:lpstr>Tech_Same_Qs?</vt:lpstr>
      <vt:lpstr>Tech_Same_Response?</vt:lpstr>
      <vt:lpstr>Tech_split</vt:lpstr>
      <vt:lpstr>Tech_Weighted?</vt:lpstr>
      <vt:lpstr>Tech_Weighting</vt:lpstr>
      <vt:lpstr>Threshold</vt:lpstr>
      <vt:lpstr>TPC</vt:lpstr>
      <vt:lpstr>TUPE</vt:lpstr>
      <vt:lpstr>works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Jones</dc:creator>
  <cp:lastModifiedBy>Microsoft Office User</cp:lastModifiedBy>
  <cp:lastPrinted>2021-02-28T18:26:10Z</cp:lastPrinted>
  <dcterms:created xsi:type="dcterms:W3CDTF">2015-05-06T10:01:53Z</dcterms:created>
  <dcterms:modified xsi:type="dcterms:W3CDTF">2021-07-19T11:40:44Z</dcterms:modified>
</cp:coreProperties>
</file>